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02359595105\Downloads\"/>
    </mc:Choice>
  </mc:AlternateContent>
  <xr:revisionPtr revIDLastSave="0" documentId="13_ncr:1_{FAEE2A22-28A9-43F2-9305-92A8634D9516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Tabela comparativa simplificada" sheetId="1" r:id="rId1"/>
    <sheet name="Tabela comparativa completa" sheetId="4" r:id="rId2"/>
    <sheet name="Matriz" sheetId="2" state="hidden" r:id="rId3"/>
  </sheets>
  <definedNames>
    <definedName name="_xlnm.Print_Area" localSheetId="1">'Tabela comparativa completa'!$A$1:$W$32</definedName>
    <definedName name="_xlnm.Print_Area" localSheetId="0">'Tabela comparativa simplificada'!$A$1:$E$32</definedName>
  </definedNames>
  <calcPr calcId="191028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0" i="1" l="1"/>
  <c r="G31" i="4"/>
  <c r="F31" i="4"/>
  <c r="E31" i="4"/>
  <c r="D31" i="4"/>
  <c r="W30" i="4"/>
  <c r="T30" i="4"/>
  <c r="S30" i="4"/>
  <c r="R30" i="4"/>
  <c r="U30" i="4" s="1"/>
  <c r="P30" i="4"/>
  <c r="Q30" i="4" s="1"/>
  <c r="T29" i="4"/>
  <c r="S29" i="4"/>
  <c r="R29" i="4"/>
  <c r="W29" i="4" s="1"/>
  <c r="P29" i="4"/>
  <c r="Q29" i="4" s="1"/>
  <c r="W28" i="4"/>
  <c r="U28" i="4"/>
  <c r="T28" i="4"/>
  <c r="S28" i="4"/>
  <c r="R28" i="4"/>
  <c r="P28" i="4"/>
  <c r="Q28" i="4" s="1"/>
  <c r="W27" i="4"/>
  <c r="U27" i="4"/>
  <c r="T27" i="4"/>
  <c r="S27" i="4"/>
  <c r="R27" i="4"/>
  <c r="P27" i="4"/>
  <c r="Q27" i="4" s="1"/>
  <c r="W26" i="4"/>
  <c r="U26" i="4"/>
  <c r="T26" i="4"/>
  <c r="S26" i="4"/>
  <c r="R26" i="4"/>
  <c r="P26" i="4"/>
  <c r="Q26" i="4" s="1"/>
  <c r="T25" i="4"/>
  <c r="S25" i="4"/>
  <c r="R25" i="4"/>
  <c r="U25" i="4" s="1"/>
  <c r="P25" i="4"/>
  <c r="Q25" i="4" s="1"/>
  <c r="T24" i="4"/>
  <c r="S24" i="4"/>
  <c r="R24" i="4"/>
  <c r="W24" i="4" s="1"/>
  <c r="P24" i="4"/>
  <c r="Q24" i="4" s="1"/>
  <c r="T23" i="4"/>
  <c r="S23" i="4"/>
  <c r="R23" i="4"/>
  <c r="U23" i="4" s="1"/>
  <c r="P23" i="4"/>
  <c r="Q23" i="4" s="1"/>
  <c r="W22" i="4"/>
  <c r="U22" i="4"/>
  <c r="T22" i="4"/>
  <c r="S22" i="4"/>
  <c r="R22" i="4"/>
  <c r="P22" i="4"/>
  <c r="Q22" i="4" s="1"/>
  <c r="W21" i="4"/>
  <c r="U21" i="4"/>
  <c r="T21" i="4"/>
  <c r="S21" i="4"/>
  <c r="R21" i="4"/>
  <c r="P21" i="4"/>
  <c r="Q21" i="4" s="1"/>
  <c r="W20" i="4"/>
  <c r="U20" i="4"/>
  <c r="T20" i="4"/>
  <c r="S20" i="4"/>
  <c r="R20" i="4"/>
  <c r="P20" i="4"/>
  <c r="Q20" i="4" s="1"/>
  <c r="W19" i="4"/>
  <c r="T19" i="4"/>
  <c r="S19" i="4"/>
  <c r="R19" i="4"/>
  <c r="U19" i="4" s="1"/>
  <c r="P19" i="4"/>
  <c r="Q19" i="4" s="1"/>
  <c r="T18" i="4"/>
  <c r="S18" i="4"/>
  <c r="W18" i="4" s="1"/>
  <c r="R18" i="4"/>
  <c r="U18" i="4" s="1"/>
  <c r="P18" i="4"/>
  <c r="Q18" i="4" s="1"/>
  <c r="T17" i="4"/>
  <c r="S17" i="4"/>
  <c r="R17" i="4"/>
  <c r="U17" i="4" s="1"/>
  <c r="P17" i="4"/>
  <c r="Q17" i="4" s="1"/>
  <c r="T16" i="4"/>
  <c r="S16" i="4"/>
  <c r="R16" i="4"/>
  <c r="W16" i="4" s="1"/>
  <c r="P16" i="4"/>
  <c r="Q16" i="4" s="1"/>
  <c r="T15" i="4"/>
  <c r="S15" i="4"/>
  <c r="R15" i="4"/>
  <c r="W15" i="4" s="1"/>
  <c r="P15" i="4"/>
  <c r="Q15" i="4" s="1"/>
  <c r="T14" i="4"/>
  <c r="S14" i="4"/>
  <c r="W14" i="4" s="1"/>
  <c r="R14" i="4"/>
  <c r="U14" i="4" s="1"/>
  <c r="P14" i="4"/>
  <c r="Q14" i="4" s="1"/>
  <c r="T13" i="4"/>
  <c r="S13" i="4"/>
  <c r="W13" i="4" s="1"/>
  <c r="R13" i="4"/>
  <c r="U13" i="4" s="1"/>
  <c r="P13" i="4"/>
  <c r="Q13" i="4" s="1"/>
  <c r="T12" i="4"/>
  <c r="S12" i="4"/>
  <c r="R12" i="4"/>
  <c r="W12" i="4" s="1"/>
  <c r="P12" i="4"/>
  <c r="Q12" i="4" s="1"/>
  <c r="T11" i="4"/>
  <c r="S11" i="4"/>
  <c r="R11" i="4"/>
  <c r="W11" i="4" s="1"/>
  <c r="P11" i="4"/>
  <c r="Q11" i="4" s="1"/>
  <c r="T10" i="4"/>
  <c r="S10" i="4"/>
  <c r="W10" i="4" s="1"/>
  <c r="R10" i="4"/>
  <c r="U10" i="4" s="1"/>
  <c r="P10" i="4"/>
  <c r="Q10" i="4" s="1"/>
  <c r="T9" i="4"/>
  <c r="S9" i="4"/>
  <c r="R9" i="4"/>
  <c r="U9" i="4" s="1"/>
  <c r="P9" i="4"/>
  <c r="Q9" i="4" s="1"/>
  <c r="T8" i="4"/>
  <c r="S8" i="4"/>
  <c r="R8" i="4"/>
  <c r="U8" i="4" s="1"/>
  <c r="P8" i="4"/>
  <c r="Q8" i="4" s="1"/>
  <c r="T7" i="4"/>
  <c r="S7" i="4"/>
  <c r="W7" i="4" s="1"/>
  <c r="R7" i="4"/>
  <c r="U7" i="4" s="1"/>
  <c r="P7" i="4"/>
  <c r="Q7" i="4" s="1"/>
  <c r="T6" i="4"/>
  <c r="S6" i="4"/>
  <c r="R6" i="4"/>
  <c r="W6" i="4" s="1"/>
  <c r="P6" i="4"/>
  <c r="Q6" i="4" s="1"/>
  <c r="T5" i="4"/>
  <c r="S5" i="4"/>
  <c r="W5" i="4" s="1"/>
  <c r="R5" i="4"/>
  <c r="U5" i="4" s="1"/>
  <c r="P5" i="4"/>
  <c r="Q5" i="4" s="1"/>
  <c r="W4" i="4"/>
  <c r="U4" i="4"/>
  <c r="T4" i="4"/>
  <c r="S4" i="4"/>
  <c r="R4" i="4"/>
  <c r="P4" i="4"/>
  <c r="Q4" i="4" s="1"/>
  <c r="W8" i="4" l="1"/>
  <c r="W9" i="4"/>
  <c r="U15" i="4"/>
  <c r="U16" i="4"/>
  <c r="W25" i="4"/>
  <c r="U29" i="4"/>
  <c r="U11" i="4"/>
  <c r="U6" i="4"/>
  <c r="U12" i="4"/>
  <c r="W17" i="4"/>
  <c r="W23" i="4"/>
  <c r="U24" i="4"/>
  <c r="W31" i="4" l="1"/>
  <c r="D30" i="1"/>
</calcChain>
</file>

<file path=xl/sharedStrings.xml><?xml version="1.0" encoding="utf-8"?>
<sst xmlns="http://schemas.openxmlformats.org/spreadsheetml/2006/main" count="226" uniqueCount="90">
  <si>
    <t>MAPA COMPARATIVO</t>
  </si>
  <si>
    <t>FORNECEDORES</t>
  </si>
  <si>
    <t xml:space="preserve"> Orçamento enviado Fornecedor                                     RA Catering - 23/09/2025</t>
  </si>
  <si>
    <t xml:space="preserve"> Orçamento enviado Fornecedor                                      ASAP Facilicites - 23/09/2025</t>
  </si>
  <si>
    <t>MD - Contrato 42/2024 (MLS BSB Serviços de Alimentação) - 1º Termo de Apostilamento - 30/05/2025 a 29/05/2026</t>
  </si>
  <si>
    <t>MAPA - Contrato 69/2024                         (MLS BSB Serviços de Alimentação) - 09/01/2025 a 09/01/2026</t>
  </si>
  <si>
    <t>MTE - Contrato 14/2025 (ASAP Facilities) - 26/08/2025 a 26/08/2027</t>
  </si>
  <si>
    <t>MCTI - Contrato 10/2024 (ASAP Facilities) - 1º Termo de Apostilamento - 22/08/2025 a 21/08/2026</t>
  </si>
  <si>
    <t>MT - Contrato 12/2024 (ASAP Facilities) - 1º Termo de Apostilamento - 15/03/2025 a 24/04/2026</t>
  </si>
  <si>
    <t>MMA - Nota de Empenho SIAFI 2024NE000658 (ASAP Facilities) - 18/12/2024 a 18/12/2025</t>
  </si>
  <si>
    <t>MME - Contrato 07/2022 (RA Catering) 4º Termo de Apostilamento - 01/07/2025 a 01/07/2026</t>
  </si>
  <si>
    <t>MRE - Contrato 10/2024 (ASAP Facilities ) 1º Termo de Apostilamento - 07/07/2025 a 07/10/2026</t>
  </si>
  <si>
    <t>MÉDIA GERAL DE TODOS OS ITENS</t>
  </si>
  <si>
    <t>MÉDIA GERAL + 25% (para definir os excessivamentelevados)</t>
  </si>
  <si>
    <t>MEDIANA</t>
  </si>
  <si>
    <t>DESVIO PADRÃO</t>
  </si>
  <si>
    <t>PORCENTAGEM (COEFICIENTE DE VARIAÇÃO)</t>
  </si>
  <si>
    <t>MÉTODO A SER UTILIZADO (Se o coeficiente de variação for &lt; 25 = média; se for &gt; 25 = mediana)</t>
  </si>
  <si>
    <t>VALOR TOTAL, CONSIDERANDO QUANTITATIVO E MÉTODO UTILIZADO</t>
  </si>
  <si>
    <t>Item</t>
  </si>
  <si>
    <t>Especificação do Objeto</t>
  </si>
  <si>
    <t>Quantidade Estimada</t>
  </si>
  <si>
    <t>VALOR UNITÁRIO</t>
  </si>
  <si>
    <t>VALOR TOTAL</t>
  </si>
  <si>
    <t>Açúcar individual sachê 5 g</t>
  </si>
  <si>
    <t>-</t>
  </si>
  <si>
    <t>MÉDIA</t>
  </si>
  <si>
    <t>Adoçante sucralose sachê 0,6 g</t>
  </si>
  <si>
    <t>Água mineral sem gás 500 ml</t>
  </si>
  <si>
    <t>Água mineral com gás 500 ml</t>
  </si>
  <si>
    <t>Água de coco 500 ml</t>
  </si>
  <si>
    <t>Refrigerante Diet/light/zero lata 350ml</t>
  </si>
  <si>
    <t>Refrigerante Normal lata 350ml</t>
  </si>
  <si>
    <t>Suco light caixa 1lt (sabores: laranja, caju, pêssego e uva)</t>
  </si>
  <si>
    <t>Cappuccino comum sachê 20 g</t>
  </si>
  <si>
    <t>Café solúvel individual 1,3 g</t>
  </si>
  <si>
    <t>Azeite de Oliva extra virgem sachê 4 ml</t>
  </si>
  <si>
    <t>Sal individual sachê 1 g</t>
  </si>
  <si>
    <t>Geladeira de isopor 36 L (caixa térmica)</t>
  </si>
  <si>
    <t>Gelo em cubo de 4 kg</t>
  </si>
  <si>
    <t>Gelo seco (por kg)</t>
  </si>
  <si>
    <t>Guardanapo (resistente, folha dupla 34x34)</t>
  </si>
  <si>
    <t>Copo biodegradável de 200 mL</t>
  </si>
  <si>
    <t>Frutas fatiadas porção individual</t>
  </si>
  <si>
    <t>Café da Manhã - sugestão: Frio/Quente</t>
  </si>
  <si>
    <t>Lanche - sugestão: Frio/Quente</t>
  </si>
  <si>
    <t>Sanduíches - sugestão: Frio/Quente</t>
  </si>
  <si>
    <t>Salgados</t>
  </si>
  <si>
    <t>Almoço/Jantar quente - Massas e Risotos</t>
  </si>
  <si>
    <t>Almoço/Jantar quente - Aves</t>
  </si>
  <si>
    <t>Almoço/Jantar quente - Carnes</t>
  </si>
  <si>
    <t>Almoço/Jantar quente - Peixes</t>
  </si>
  <si>
    <t>ENTREGA - Handling</t>
  </si>
  <si>
    <t>TOTAL</t>
  </si>
  <si>
    <t>AULAS DE EXCEL</t>
  </si>
  <si>
    <t>MÉDIA DESCONSIDERANDO ZEROS E VAZIOS</t>
  </si>
  <si>
    <t>https://www.youtube.com/watch?v=iYMN8Ig4Wok</t>
  </si>
  <si>
    <t>COMO CALCULAR MEDIANA NA FORMULA</t>
  </si>
  <si>
    <t>MAIOR VALOR EM UMA TABELA</t>
  </si>
  <si>
    <t>https://www.youtube.com/watch?v=RhYEwS0xc3A</t>
  </si>
  <si>
    <t>FUNÇÃO PROCV/SEERRO</t>
  </si>
  <si>
    <t>https://www.youtube.com/watch?v=z40_lHuLOiA</t>
  </si>
  <si>
    <t>MEDIANA COM NUMERO DE ELEMENTOS IMPAR</t>
  </si>
  <si>
    <t>MEDIANA COM NUMERO DE ELEMENTOS PARES</t>
  </si>
  <si>
    <t>FORMULA: ME = X(M+1)/2</t>
  </si>
  <si>
    <t>FORMULA: ME = [X(m/2) + X (m/2+1)]/2</t>
  </si>
  <si>
    <t>7 ELEMENTOS CRESCENTES</t>
  </si>
  <si>
    <t>X1</t>
  </si>
  <si>
    <t>6 ELEMENTOS CRESCENTES</t>
  </si>
  <si>
    <t>X2</t>
  </si>
  <si>
    <t>ME= X(M+1)/2</t>
  </si>
  <si>
    <t>ME=[X(m/2) + X(m/2+1)]/2</t>
  </si>
  <si>
    <t>X3</t>
  </si>
  <si>
    <t>ME= X(7+1)/2</t>
  </si>
  <si>
    <t>ME=[X(6/2) + X(6/2+1)]/2</t>
  </si>
  <si>
    <t>X4</t>
  </si>
  <si>
    <t>ME=X(8/2)</t>
  </si>
  <si>
    <t>ME=[X3 + X4]/2</t>
  </si>
  <si>
    <t>X5</t>
  </si>
  <si>
    <t>ME= X4</t>
  </si>
  <si>
    <t>ME=[21+32]/2</t>
  </si>
  <si>
    <t>X6</t>
  </si>
  <si>
    <t>ME=X4 = 21</t>
  </si>
  <si>
    <t>ME=53/2</t>
  </si>
  <si>
    <t>x7</t>
  </si>
  <si>
    <t>ME=26,5</t>
  </si>
  <si>
    <t>QUANTIDADE</t>
  </si>
  <si>
    <t>ESPECIFICAÇÃO DO OBJETO</t>
  </si>
  <si>
    <t>ITEM</t>
  </si>
  <si>
    <t>MÉDIA DESCONSIDERANDO EXCESSIVAMENTE ELEVADO - ITENS TACHADOS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</si>
</sst>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R$&quot;* #,##0.00_-;\-&quot;R$&quot;* #,##0.00_-;_-&quot;R$&quot;* &quot;-&quot;??_-;_-@_-"/>
    <numFmt numFmtId="165" formatCode="_-[$R$-416]\ * #,##0.00_-;\-[$R$-416]\ * #,##0.00_-;_-[$R$-416]\ * &quot;-&quot;??_-;_-@_-"/>
    <numFmt numFmtId="166" formatCode="&quot;R$&quot;\ #,##0.0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8"/>
      <color theme="1"/>
      <name val="Calibri"/>
      <family val="2"/>
      <scheme val="minor"/>
    </font>
    <font>
      <sz val="36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rgb="FFFF0000"/>
      <name val="Calibri"/>
      <family val="2"/>
      <scheme val="minor"/>
    </font>
    <font>
      <sz val="36"/>
      <color rgb="FF000000"/>
      <name val="Calibri"/>
      <scheme val="minor"/>
    </font>
    <font>
      <strike/>
      <sz val="12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sz val="12"/>
      <color theme="0" tint="-0.34998626667073579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</fills>
  <borders count="6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rgb="FF000000"/>
      </top>
      <bottom/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193">
    <xf numFmtId="0" fontId="0" fillId="0" borderId="0" xfId="0"/>
    <xf numFmtId="166" fontId="10" fillId="2" borderId="13" xfId="0" applyNumberFormat="1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3" xfId="0" applyBorder="1" applyAlignment="1">
      <alignment horizontal="center" vertical="center" wrapText="1"/>
    </xf>
    <xf numFmtId="0" fontId="2" fillId="0" borderId="3" xfId="2" applyBorder="1" applyAlignment="1">
      <alignment horizontal="center" vertical="center"/>
    </xf>
    <xf numFmtId="0" fontId="0" fillId="2" borderId="6" xfId="0" applyFill="1" applyBorder="1"/>
    <xf numFmtId="0" fontId="0" fillId="2" borderId="6" xfId="0" applyFill="1" applyBorder="1" applyAlignment="1">
      <alignment horizontal="left"/>
    </xf>
    <xf numFmtId="0" fontId="0" fillId="2" borderId="7" xfId="0" applyFill="1" applyBorder="1"/>
    <xf numFmtId="0" fontId="0" fillId="2" borderId="0" xfId="0" applyFill="1"/>
    <xf numFmtId="0" fontId="0" fillId="2" borderId="0" xfId="0" applyFill="1" applyAlignment="1">
      <alignment horizontal="left"/>
    </xf>
    <xf numFmtId="0" fontId="0" fillId="2" borderId="9" xfId="0" applyFill="1" applyBorder="1"/>
    <xf numFmtId="0" fontId="0" fillId="2" borderId="11" xfId="0" applyFill="1" applyBorder="1"/>
    <xf numFmtId="0" fontId="0" fillId="2" borderId="12" xfId="0" applyFill="1" applyBorder="1"/>
    <xf numFmtId="0" fontId="0" fillId="2" borderId="6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2" fillId="0" borderId="3" xfId="2" applyBorder="1" applyAlignment="1">
      <alignment vertical="center"/>
    </xf>
    <xf numFmtId="0" fontId="7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vertical="center" wrapText="1"/>
    </xf>
    <xf numFmtId="0" fontId="7" fillId="2" borderId="0" xfId="0" applyFont="1" applyFill="1" applyAlignment="1">
      <alignment wrapText="1"/>
    </xf>
    <xf numFmtId="0" fontId="11" fillId="2" borderId="0" xfId="0" applyFont="1" applyFill="1" applyAlignment="1">
      <alignment wrapText="1"/>
    </xf>
    <xf numFmtId="166" fontId="10" fillId="2" borderId="17" xfId="1" applyNumberFormat="1" applyFont="1" applyFill="1" applyBorder="1" applyAlignment="1">
      <alignment horizontal="center" vertical="center"/>
    </xf>
    <xf numFmtId="166" fontId="10" fillId="2" borderId="3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166" fontId="1" fillId="2" borderId="0" xfId="0" applyNumberFormat="1" applyFont="1" applyFill="1" applyAlignment="1">
      <alignment wrapText="1"/>
    </xf>
    <xf numFmtId="164" fontId="1" fillId="2" borderId="0" xfId="1" applyFont="1" applyFill="1" applyAlignment="1">
      <alignment wrapText="1"/>
    </xf>
    <xf numFmtId="166" fontId="10" fillId="3" borderId="3" xfId="0" applyNumberFormat="1" applyFont="1" applyFill="1" applyBorder="1" applyAlignment="1">
      <alignment horizontal="center" vertical="center" wrapText="1"/>
    </xf>
    <xf numFmtId="166" fontId="14" fillId="3" borderId="3" xfId="0" applyNumberFormat="1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5" fillId="5" borderId="22" xfId="0" applyFont="1" applyFill="1" applyBorder="1" applyAlignment="1">
      <alignment horizontal="center" vertical="center" wrapText="1"/>
    </xf>
    <xf numFmtId="166" fontId="10" fillId="3" borderId="13" xfId="0" applyNumberFormat="1" applyFont="1" applyFill="1" applyBorder="1" applyAlignment="1">
      <alignment horizontal="center" vertical="center" wrapText="1"/>
    </xf>
    <xf numFmtId="166" fontId="14" fillId="3" borderId="13" xfId="0" applyNumberFormat="1" applyFont="1" applyFill="1" applyBorder="1" applyAlignment="1">
      <alignment horizontal="center" vertical="center" wrapText="1"/>
    </xf>
    <xf numFmtId="166" fontId="10" fillId="3" borderId="15" xfId="0" applyNumberFormat="1" applyFont="1" applyFill="1" applyBorder="1" applyAlignment="1">
      <alignment horizontal="center" vertical="center" wrapText="1"/>
    </xf>
    <xf numFmtId="166" fontId="10" fillId="2" borderId="15" xfId="0" applyNumberFormat="1" applyFont="1" applyFill="1" applyBorder="1" applyAlignment="1">
      <alignment horizontal="center" vertical="center" wrapText="1"/>
    </xf>
    <xf numFmtId="166" fontId="15" fillId="3" borderId="15" xfId="0" applyNumberFormat="1" applyFont="1" applyFill="1" applyBorder="1" applyAlignment="1">
      <alignment horizontal="center" vertical="center" wrapText="1"/>
    </xf>
    <xf numFmtId="166" fontId="10" fillId="3" borderId="12" xfId="0" applyNumberFormat="1" applyFont="1" applyFill="1" applyBorder="1" applyAlignment="1">
      <alignment horizontal="center" vertical="center" wrapText="1"/>
    </xf>
    <xf numFmtId="166" fontId="14" fillId="3" borderId="17" xfId="0" applyNumberFormat="1" applyFont="1" applyFill="1" applyBorder="1" applyAlignment="1">
      <alignment horizontal="center" vertical="center" wrapText="1"/>
    </xf>
    <xf numFmtId="166" fontId="10" fillId="3" borderId="17" xfId="0" applyNumberFormat="1" applyFont="1" applyFill="1" applyBorder="1" applyAlignment="1">
      <alignment horizontal="center" vertical="center" wrapText="1"/>
    </xf>
    <xf numFmtId="166" fontId="14" fillId="3" borderId="12" xfId="0" applyNumberFormat="1" applyFont="1" applyFill="1" applyBorder="1" applyAlignment="1">
      <alignment horizontal="center" vertical="center" wrapText="1"/>
    </xf>
    <xf numFmtId="166" fontId="10" fillId="3" borderId="16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166" fontId="14" fillId="3" borderId="16" xfId="0" applyNumberFormat="1" applyFont="1" applyFill="1" applyBorder="1" applyAlignment="1">
      <alignment horizontal="center" vertical="center" wrapText="1"/>
    </xf>
    <xf numFmtId="166" fontId="10" fillId="3" borderId="20" xfId="0" applyNumberFormat="1" applyFont="1" applyFill="1" applyBorder="1" applyAlignment="1">
      <alignment horizontal="center" vertical="center" wrapText="1"/>
    </xf>
    <xf numFmtId="166" fontId="14" fillId="3" borderId="20" xfId="0" applyNumberFormat="1" applyFont="1" applyFill="1" applyBorder="1" applyAlignment="1">
      <alignment horizontal="center" vertical="center" wrapText="1"/>
    </xf>
    <xf numFmtId="166" fontId="10" fillId="3" borderId="19" xfId="0" applyNumberFormat="1" applyFont="1" applyFill="1" applyBorder="1" applyAlignment="1">
      <alignment horizontal="center" vertical="center" wrapText="1"/>
    </xf>
    <xf numFmtId="166" fontId="10" fillId="3" borderId="28" xfId="0" applyNumberFormat="1" applyFont="1" applyFill="1" applyBorder="1" applyAlignment="1">
      <alignment horizontal="center" vertical="center" wrapText="1"/>
    </xf>
    <xf numFmtId="166" fontId="14" fillId="3" borderId="7" xfId="0" applyNumberFormat="1" applyFont="1" applyFill="1" applyBorder="1" applyAlignment="1">
      <alignment horizontal="center" vertical="center" wrapText="1"/>
    </xf>
    <xf numFmtId="2" fontId="10" fillId="2" borderId="3" xfId="1" applyNumberFormat="1" applyFont="1" applyFill="1" applyBorder="1" applyAlignment="1">
      <alignment horizontal="center" vertical="center"/>
    </xf>
    <xf numFmtId="166" fontId="17" fillId="3" borderId="3" xfId="0" applyNumberFormat="1" applyFont="1" applyFill="1" applyBorder="1" applyAlignment="1">
      <alignment horizontal="center" vertical="center" wrapText="1"/>
    </xf>
    <xf numFmtId="166" fontId="17" fillId="3" borderId="17" xfId="0" applyNumberFormat="1" applyFont="1" applyFill="1" applyBorder="1" applyAlignment="1">
      <alignment horizontal="center" vertical="center" wrapText="1"/>
    </xf>
    <xf numFmtId="166" fontId="17" fillId="3" borderId="13" xfId="0" applyNumberFormat="1" applyFont="1" applyFill="1" applyBorder="1" applyAlignment="1">
      <alignment horizontal="center" vertical="center" wrapText="1"/>
    </xf>
    <xf numFmtId="166" fontId="17" fillId="3" borderId="15" xfId="0" applyNumberFormat="1" applyFont="1" applyFill="1" applyBorder="1" applyAlignment="1">
      <alignment horizontal="center" vertical="center" wrapText="1"/>
    </xf>
    <xf numFmtId="2" fontId="10" fillId="8" borderId="31" xfId="1" applyNumberFormat="1" applyFont="1" applyFill="1" applyBorder="1" applyAlignment="1">
      <alignment horizontal="center" vertical="center"/>
    </xf>
    <xf numFmtId="2" fontId="10" fillId="9" borderId="31" xfId="1" applyNumberFormat="1" applyFont="1" applyFill="1" applyBorder="1" applyAlignment="1">
      <alignment horizontal="center" vertical="center"/>
    </xf>
    <xf numFmtId="166" fontId="14" fillId="3" borderId="15" xfId="0" applyNumberFormat="1" applyFont="1" applyFill="1" applyBorder="1" applyAlignment="1">
      <alignment horizontal="center" vertical="center" wrapText="1"/>
    </xf>
    <xf numFmtId="166" fontId="17" fillId="3" borderId="12" xfId="0" applyNumberFormat="1" applyFont="1" applyFill="1" applyBorder="1" applyAlignment="1">
      <alignment horizontal="center" vertical="center" wrapText="1"/>
    </xf>
    <xf numFmtId="166" fontId="15" fillId="2" borderId="15" xfId="1" applyNumberFormat="1" applyFont="1" applyFill="1" applyBorder="1" applyAlignment="1">
      <alignment horizontal="center" vertical="center"/>
    </xf>
    <xf numFmtId="166" fontId="15" fillId="2" borderId="3" xfId="1" applyNumberFormat="1" applyFont="1" applyFill="1" applyBorder="1" applyAlignment="1">
      <alignment horizontal="center" vertical="center"/>
    </xf>
    <xf numFmtId="166" fontId="15" fillId="3" borderId="3" xfId="0" applyNumberFormat="1" applyFont="1" applyFill="1" applyBorder="1" applyAlignment="1">
      <alignment horizontal="center" vertical="center" wrapText="1"/>
    </xf>
    <xf numFmtId="166" fontId="15" fillId="3" borderId="14" xfId="0" applyNumberFormat="1" applyFont="1" applyFill="1" applyBorder="1" applyAlignment="1">
      <alignment horizontal="center" vertical="center" wrapText="1"/>
    </xf>
    <xf numFmtId="166" fontId="17" fillId="3" borderId="16" xfId="0" applyNumberFormat="1" applyFont="1" applyFill="1" applyBorder="1" applyAlignment="1">
      <alignment horizontal="center" vertical="center" wrapText="1"/>
    </xf>
    <xf numFmtId="166" fontId="10" fillId="2" borderId="12" xfId="1" applyNumberFormat="1" applyFont="1" applyFill="1" applyBorder="1" applyAlignment="1">
      <alignment horizontal="center" vertical="center"/>
    </xf>
    <xf numFmtId="2" fontId="10" fillId="2" borderId="15" xfId="1" applyNumberFormat="1" applyFont="1" applyFill="1" applyBorder="1" applyAlignment="1">
      <alignment horizontal="center" vertical="center"/>
    </xf>
    <xf numFmtId="0" fontId="12" fillId="0" borderId="29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12" fillId="2" borderId="19" xfId="0" applyFont="1" applyFill="1" applyBorder="1" applyAlignment="1">
      <alignment horizontal="center" vertical="center" wrapText="1"/>
    </xf>
    <xf numFmtId="0" fontId="13" fillId="2" borderId="16" xfId="0" applyFont="1" applyFill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165" fontId="8" fillId="2" borderId="25" xfId="0" applyNumberFormat="1" applyFont="1" applyFill="1" applyBorder="1" applyAlignment="1">
      <alignment horizontal="center" vertical="center" wrapText="1"/>
    </xf>
    <xf numFmtId="165" fontId="8" fillId="2" borderId="24" xfId="0" applyNumberFormat="1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166" fontId="15" fillId="3" borderId="17" xfId="0" applyNumberFormat="1" applyFont="1" applyFill="1" applyBorder="1" applyAlignment="1">
      <alignment horizontal="center" vertical="center" wrapText="1"/>
    </xf>
    <xf numFmtId="166" fontId="17" fillId="3" borderId="7" xfId="0" applyNumberFormat="1" applyFont="1" applyFill="1" applyBorder="1" applyAlignment="1">
      <alignment horizontal="center" vertical="center" wrapText="1"/>
    </xf>
    <xf numFmtId="165" fontId="8" fillId="10" borderId="25" xfId="0" applyNumberFormat="1" applyFont="1" applyFill="1" applyBorder="1" applyAlignment="1">
      <alignment horizontal="center" vertical="center" wrapText="1"/>
    </xf>
    <xf numFmtId="166" fontId="9" fillId="2" borderId="16" xfId="0" applyNumberFormat="1" applyFont="1" applyFill="1" applyBorder="1" applyAlignment="1">
      <alignment horizontal="center" vertical="center" wrapText="1"/>
    </xf>
    <xf numFmtId="166" fontId="9" fillId="2" borderId="20" xfId="0" applyNumberFormat="1" applyFont="1" applyFill="1" applyBorder="1" applyAlignment="1">
      <alignment horizontal="center" vertical="center" wrapText="1"/>
    </xf>
    <xf numFmtId="166" fontId="17" fillId="3" borderId="20" xfId="0" applyNumberFormat="1" applyFont="1" applyFill="1" applyBorder="1" applyAlignment="1">
      <alignment horizontal="center" vertical="center" wrapText="1"/>
    </xf>
    <xf numFmtId="0" fontId="8" fillId="2" borderId="0" xfId="0" applyFont="1" applyFill="1" applyAlignment="1">
      <alignment vertical="center" wrapText="1"/>
    </xf>
    <xf numFmtId="165" fontId="8" fillId="2" borderId="0" xfId="0" applyNumberFormat="1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166" fontId="9" fillId="2" borderId="29" xfId="0" applyNumberFormat="1" applyFont="1" applyFill="1" applyBorder="1" applyAlignment="1">
      <alignment horizontal="center" vertical="center" wrapText="1"/>
    </xf>
    <xf numFmtId="166" fontId="7" fillId="2" borderId="0" xfId="0" applyNumberFormat="1" applyFont="1" applyFill="1" applyAlignment="1">
      <alignment wrapText="1"/>
    </xf>
    <xf numFmtId="2" fontId="10" fillId="8" borderId="10" xfId="1" applyNumberFormat="1" applyFont="1" applyFill="1" applyBorder="1" applyAlignment="1">
      <alignment horizontal="center" vertical="center"/>
    </xf>
    <xf numFmtId="166" fontId="12" fillId="2" borderId="44" xfId="1" applyNumberFormat="1" applyFont="1" applyFill="1" applyBorder="1" applyAlignment="1">
      <alignment horizontal="center" vertical="center"/>
    </xf>
    <xf numFmtId="166" fontId="18" fillId="2" borderId="25" xfId="1" applyNumberFormat="1" applyFont="1" applyFill="1" applyBorder="1" applyAlignment="1">
      <alignment horizontal="center" vertical="center"/>
    </xf>
    <xf numFmtId="2" fontId="12" fillId="2" borderId="24" xfId="1" applyNumberFormat="1" applyFont="1" applyFill="1" applyBorder="1" applyAlignment="1">
      <alignment horizontal="center" vertical="center"/>
    </xf>
    <xf numFmtId="0" fontId="8" fillId="2" borderId="27" xfId="0" applyFont="1" applyFill="1" applyBorder="1" applyAlignment="1">
      <alignment horizontal="center" vertical="center" wrapText="1"/>
    </xf>
    <xf numFmtId="166" fontId="10" fillId="2" borderId="7" xfId="1" applyNumberFormat="1" applyFont="1" applyFill="1" applyBorder="1" applyAlignment="1">
      <alignment horizontal="center" vertical="center"/>
    </xf>
    <xf numFmtId="166" fontId="15" fillId="2" borderId="13" xfId="1" applyNumberFormat="1" applyFont="1" applyFill="1" applyBorder="1" applyAlignment="1">
      <alignment horizontal="center" vertical="center"/>
    </xf>
    <xf numFmtId="2" fontId="10" fillId="2" borderId="13" xfId="1" applyNumberFormat="1" applyFont="1" applyFill="1" applyBorder="1" applyAlignment="1">
      <alignment horizontal="center" vertical="center"/>
    </xf>
    <xf numFmtId="2" fontId="10" fillId="8" borderId="5" xfId="1" applyNumberFormat="1" applyFont="1" applyFill="1" applyBorder="1" applyAlignment="1">
      <alignment horizontal="center" vertical="center"/>
    </xf>
    <xf numFmtId="0" fontId="0" fillId="2" borderId="28" xfId="0" applyFill="1" applyBorder="1" applyAlignment="1">
      <alignment horizontal="center" vertical="center" wrapText="1"/>
    </xf>
    <xf numFmtId="165" fontId="8" fillId="2" borderId="43" xfId="0" applyNumberFormat="1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166" fontId="9" fillId="8" borderId="15" xfId="1" applyNumberFormat="1" applyFont="1" applyFill="1" applyBorder="1" applyAlignment="1">
      <alignment horizontal="center" vertical="center"/>
    </xf>
    <xf numFmtId="0" fontId="8" fillId="3" borderId="22" xfId="0" applyFont="1" applyFill="1" applyBorder="1" applyAlignment="1">
      <alignment horizontal="center" vertical="center" wrapText="1"/>
    </xf>
    <xf numFmtId="0" fontId="8" fillId="3" borderId="63" xfId="0" applyFont="1" applyFill="1" applyBorder="1" applyAlignment="1">
      <alignment horizontal="center" vertical="center" wrapText="1"/>
    </xf>
    <xf numFmtId="0" fontId="8" fillId="3" borderId="26" xfId="0" applyFont="1" applyFill="1" applyBorder="1" applyAlignment="1">
      <alignment horizontal="center" vertical="center" wrapText="1"/>
    </xf>
    <xf numFmtId="0" fontId="8" fillId="3" borderId="64" xfId="0" applyFont="1" applyFill="1" applyBorder="1" applyAlignment="1">
      <alignment horizontal="center" vertical="center" wrapText="1"/>
    </xf>
    <xf numFmtId="0" fontId="8" fillId="6" borderId="47" xfId="0" applyFont="1" applyFill="1" applyBorder="1" applyAlignment="1">
      <alignment horizontal="center" vertical="center" wrapText="1"/>
    </xf>
    <xf numFmtId="0" fontId="8" fillId="6" borderId="48" xfId="0" applyFont="1" applyFill="1" applyBorder="1" applyAlignment="1">
      <alignment horizontal="center" vertical="center" wrapText="1"/>
    </xf>
    <xf numFmtId="0" fontId="8" fillId="6" borderId="49" xfId="0" applyFont="1" applyFill="1" applyBorder="1" applyAlignment="1">
      <alignment horizontal="center" vertical="center" wrapText="1"/>
    </xf>
    <xf numFmtId="0" fontId="9" fillId="3" borderId="61" xfId="0" applyFont="1" applyFill="1" applyBorder="1" applyAlignment="1">
      <alignment horizontal="center" vertical="center" wrapText="1"/>
    </xf>
    <xf numFmtId="0" fontId="9" fillId="2" borderId="61" xfId="0" applyFont="1" applyFill="1" applyBorder="1" applyAlignment="1">
      <alignment horizontal="center" vertical="center" wrapText="1"/>
    </xf>
    <xf numFmtId="0" fontId="9" fillId="3" borderId="62" xfId="0" applyFont="1" applyFill="1" applyBorder="1" applyAlignment="1">
      <alignment horizontal="center" vertical="center" wrapText="1"/>
    </xf>
    <xf numFmtId="166" fontId="12" fillId="2" borderId="46" xfId="1" applyNumberFormat="1" applyFont="1" applyFill="1" applyBorder="1" applyAlignment="1">
      <alignment horizontal="center" vertical="center"/>
    </xf>
    <xf numFmtId="166" fontId="8" fillId="2" borderId="43" xfId="1" applyNumberFormat="1" applyFont="1" applyFill="1" applyBorder="1" applyAlignment="1">
      <alignment horizontal="center" vertical="center"/>
    </xf>
    <xf numFmtId="166" fontId="9" fillId="9" borderId="3" xfId="1" applyNumberFormat="1" applyFont="1" applyFill="1" applyBorder="1" applyAlignment="1">
      <alignment horizontal="center" vertical="center"/>
    </xf>
    <xf numFmtId="166" fontId="9" fillId="8" borderId="3" xfId="1" applyNumberFormat="1" applyFont="1" applyFill="1" applyBorder="1" applyAlignment="1">
      <alignment horizontal="center" vertical="center"/>
    </xf>
    <xf numFmtId="166" fontId="19" fillId="9" borderId="15" xfId="1" applyNumberFormat="1" applyFont="1" applyFill="1" applyBorder="1" applyAlignment="1">
      <alignment horizontal="center" vertical="center"/>
    </xf>
    <xf numFmtId="166" fontId="19" fillId="8" borderId="3" xfId="1" applyNumberFormat="1" applyFont="1" applyFill="1" applyBorder="1" applyAlignment="1">
      <alignment horizontal="center" vertical="center"/>
    </xf>
    <xf numFmtId="166" fontId="19" fillId="9" borderId="3" xfId="1" applyNumberFormat="1" applyFont="1" applyFill="1" applyBorder="1" applyAlignment="1">
      <alignment horizontal="center" vertical="center"/>
    </xf>
    <xf numFmtId="0" fontId="20" fillId="2" borderId="19" xfId="0" applyFont="1" applyFill="1" applyBorder="1" applyAlignment="1">
      <alignment horizontal="center" vertical="center" wrapText="1"/>
    </xf>
    <xf numFmtId="166" fontId="19" fillId="9" borderId="13" xfId="1" applyNumberFormat="1" applyFont="1" applyFill="1" applyBorder="1" applyAlignment="1">
      <alignment horizontal="center" vertical="center"/>
    </xf>
    <xf numFmtId="166" fontId="9" fillId="8" borderId="13" xfId="1" applyNumberFormat="1" applyFont="1" applyFill="1" applyBorder="1" applyAlignment="1">
      <alignment horizontal="center" vertical="center"/>
    </xf>
    <xf numFmtId="166" fontId="8" fillId="12" borderId="43" xfId="0" applyNumberFormat="1" applyFont="1" applyFill="1" applyBorder="1" applyAlignment="1">
      <alignment horizontal="center" vertical="center" wrapText="1"/>
    </xf>
    <xf numFmtId="165" fontId="8" fillId="12" borderId="25" xfId="0" applyNumberFormat="1" applyFont="1" applyFill="1" applyBorder="1" applyAlignment="1">
      <alignment horizontal="center" vertical="center" wrapText="1"/>
    </xf>
    <xf numFmtId="0" fontId="21" fillId="11" borderId="60" xfId="0" applyFont="1" applyFill="1" applyBorder="1" applyAlignment="1">
      <alignment horizontal="center" vertical="center" wrapText="1"/>
    </xf>
    <xf numFmtId="0" fontId="21" fillId="11" borderId="61" xfId="0" applyFont="1" applyFill="1" applyBorder="1" applyAlignment="1">
      <alignment horizontal="center" vertical="center" wrapText="1"/>
    </xf>
    <xf numFmtId="0" fontId="21" fillId="11" borderId="62" xfId="0" applyFont="1" applyFill="1" applyBorder="1" applyAlignment="1">
      <alignment horizontal="center" vertical="center" wrapText="1"/>
    </xf>
    <xf numFmtId="0" fontId="22" fillId="0" borderId="50" xfId="0" applyFont="1" applyBorder="1" applyAlignment="1">
      <alignment horizontal="center" vertical="center" wrapText="1"/>
    </xf>
    <xf numFmtId="0" fontId="22" fillId="0" borderId="29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166" fontId="22" fillId="2" borderId="15" xfId="1" applyNumberFormat="1" applyFont="1" applyFill="1" applyBorder="1" applyAlignment="1">
      <alignment horizontal="center" vertical="center"/>
    </xf>
    <xf numFmtId="166" fontId="21" fillId="2" borderId="51" xfId="0" applyNumberFormat="1" applyFont="1" applyFill="1" applyBorder="1" applyAlignment="1">
      <alignment horizontal="center" vertical="center" wrapText="1"/>
    </xf>
    <xf numFmtId="0" fontId="22" fillId="0" borderId="52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166" fontId="22" fillId="2" borderId="3" xfId="1" applyNumberFormat="1" applyFont="1" applyFill="1" applyBorder="1" applyAlignment="1">
      <alignment horizontal="center" vertical="center"/>
    </xf>
    <xf numFmtId="166" fontId="21" fillId="2" borderId="53" xfId="0" applyNumberFormat="1" applyFont="1" applyFill="1" applyBorder="1" applyAlignment="1">
      <alignment horizontal="center" vertical="center" wrapText="1"/>
    </xf>
    <xf numFmtId="0" fontId="22" fillId="2" borderId="52" xfId="0" applyFont="1" applyFill="1" applyBorder="1" applyAlignment="1">
      <alignment horizontal="center" vertical="center" wrapText="1"/>
    </xf>
    <xf numFmtId="0" fontId="22" fillId="2" borderId="16" xfId="0" applyFont="1" applyFill="1" applyBorder="1" applyAlignment="1">
      <alignment horizontal="center" vertical="center" wrapText="1"/>
    </xf>
    <xf numFmtId="0" fontId="22" fillId="2" borderId="19" xfId="0" applyFont="1" applyFill="1" applyBorder="1" applyAlignment="1">
      <alignment horizontal="center" vertical="center" wrapText="1"/>
    </xf>
    <xf numFmtId="0" fontId="23" fillId="2" borderId="16" xfId="0" applyFont="1" applyFill="1" applyBorder="1" applyAlignment="1">
      <alignment horizontal="center" vertical="center" wrapText="1"/>
    </xf>
    <xf numFmtId="0" fontId="22" fillId="0" borderId="54" xfId="0" applyFont="1" applyBorder="1" applyAlignment="1">
      <alignment horizontal="center" vertical="center" wrapText="1"/>
    </xf>
    <xf numFmtId="0" fontId="22" fillId="0" borderId="20" xfId="0" applyFont="1" applyBorder="1" applyAlignment="1">
      <alignment horizontal="center" vertical="center" wrapText="1"/>
    </xf>
    <xf numFmtId="0" fontId="22" fillId="0" borderId="28" xfId="0" applyFont="1" applyBorder="1" applyAlignment="1">
      <alignment horizontal="center" vertical="center" wrapText="1"/>
    </xf>
    <xf numFmtId="166" fontId="22" fillId="2" borderId="13" xfId="1" applyNumberFormat="1" applyFont="1" applyFill="1" applyBorder="1" applyAlignment="1">
      <alignment horizontal="center" vertical="center"/>
    </xf>
    <xf numFmtId="166" fontId="21" fillId="2" borderId="55" xfId="0" applyNumberFormat="1" applyFont="1" applyFill="1" applyBorder="1" applyAlignment="1">
      <alignment horizontal="center" vertical="center" wrapText="1"/>
    </xf>
    <xf numFmtId="166" fontId="21" fillId="2" borderId="58" xfId="0" applyNumberFormat="1" applyFont="1" applyFill="1" applyBorder="1" applyAlignment="1">
      <alignment horizontal="center" vertical="center" wrapText="1"/>
    </xf>
    <xf numFmtId="166" fontId="21" fillId="2" borderId="59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21" fillId="11" borderId="56" xfId="0" applyFont="1" applyFill="1" applyBorder="1" applyAlignment="1">
      <alignment horizontal="center" vertical="center" wrapText="1"/>
    </xf>
    <xf numFmtId="0" fontId="21" fillId="11" borderId="57" xfId="0" applyFont="1" applyFill="1" applyBorder="1" applyAlignment="1">
      <alignment horizontal="center" vertical="center" wrapText="1"/>
    </xf>
    <xf numFmtId="0" fontId="16" fillId="5" borderId="21" xfId="0" applyFont="1" applyFill="1" applyBorder="1" applyAlignment="1">
      <alignment horizontal="center" vertical="center" wrapText="1"/>
    </xf>
    <xf numFmtId="0" fontId="4" fillId="5" borderId="22" xfId="0" applyFont="1" applyFill="1" applyBorder="1" applyAlignment="1">
      <alignment horizontal="center" vertical="center" wrapText="1"/>
    </xf>
    <xf numFmtId="0" fontId="8" fillId="6" borderId="23" xfId="0" applyFont="1" applyFill="1" applyBorder="1" applyAlignment="1">
      <alignment horizontal="center" vertical="center" wrapText="1"/>
    </xf>
    <xf numFmtId="0" fontId="8" fillId="6" borderId="27" xfId="0" applyFont="1" applyFill="1" applyBorder="1" applyAlignment="1">
      <alignment horizontal="center" vertical="center" wrapText="1"/>
    </xf>
    <xf numFmtId="0" fontId="8" fillId="4" borderId="34" xfId="0" applyFont="1" applyFill="1" applyBorder="1" applyAlignment="1">
      <alignment horizontal="center" vertical="center" wrapText="1"/>
    </xf>
    <xf numFmtId="0" fontId="8" fillId="4" borderId="38" xfId="0" applyFont="1" applyFill="1" applyBorder="1" applyAlignment="1">
      <alignment horizontal="center" vertical="center" wrapText="1"/>
    </xf>
    <xf numFmtId="0" fontId="8" fillId="4" borderId="32" xfId="0" applyFont="1" applyFill="1" applyBorder="1" applyAlignment="1">
      <alignment horizontal="center" vertical="center" wrapText="1"/>
    </xf>
    <xf numFmtId="0" fontId="8" fillId="4" borderId="39" xfId="0" applyFont="1" applyFill="1" applyBorder="1" applyAlignment="1">
      <alignment horizontal="center" vertical="center" wrapText="1"/>
    </xf>
    <xf numFmtId="0" fontId="8" fillId="4" borderId="35" xfId="0" applyFont="1" applyFill="1" applyBorder="1" applyAlignment="1">
      <alignment horizontal="center" vertical="center" wrapText="1"/>
    </xf>
    <xf numFmtId="0" fontId="8" fillId="4" borderId="40" xfId="0" applyFont="1" applyFill="1" applyBorder="1" applyAlignment="1">
      <alignment horizontal="center" vertical="center" wrapText="1"/>
    </xf>
    <xf numFmtId="0" fontId="8" fillId="4" borderId="36" xfId="0" applyFont="1" applyFill="1" applyBorder="1" applyAlignment="1">
      <alignment horizontal="center" vertical="center" wrapText="1"/>
    </xf>
    <xf numFmtId="0" fontId="8" fillId="4" borderId="41" xfId="0" applyFont="1" applyFill="1" applyBorder="1" applyAlignment="1">
      <alignment horizontal="center" vertical="center" wrapText="1"/>
    </xf>
    <xf numFmtId="0" fontId="8" fillId="4" borderId="30" xfId="0" applyFont="1" applyFill="1" applyBorder="1" applyAlignment="1">
      <alignment horizontal="center" vertical="center" wrapText="1"/>
    </xf>
    <xf numFmtId="0" fontId="8" fillId="4" borderId="42" xfId="0" applyFont="1" applyFill="1" applyBorder="1" applyAlignment="1">
      <alignment horizontal="center" vertical="center" wrapText="1"/>
    </xf>
    <xf numFmtId="0" fontId="8" fillId="4" borderId="22" xfId="0" applyFont="1" applyFill="1" applyBorder="1" applyAlignment="1">
      <alignment horizontal="center" vertical="center" wrapText="1"/>
    </xf>
    <xf numFmtId="0" fontId="8" fillId="4" borderId="45" xfId="0" applyFont="1" applyFill="1" applyBorder="1" applyAlignment="1">
      <alignment horizontal="center" vertical="center" wrapText="1"/>
    </xf>
    <xf numFmtId="0" fontId="8" fillId="4" borderId="33" xfId="0" applyFont="1" applyFill="1" applyBorder="1" applyAlignment="1">
      <alignment horizontal="center" vertical="center" wrapText="1"/>
    </xf>
    <xf numFmtId="0" fontId="8" fillId="4" borderId="37" xfId="0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4" fillId="5" borderId="66" xfId="0" applyFont="1" applyFill="1" applyBorder="1" applyAlignment="1">
      <alignment horizontal="center" vertical="center" wrapText="1"/>
    </xf>
    <xf numFmtId="0" fontId="4" fillId="5" borderId="67" xfId="0" applyFont="1" applyFill="1" applyBorder="1" applyAlignment="1">
      <alignment horizontal="center" vertical="center" wrapText="1"/>
    </xf>
    <xf numFmtId="0" fontId="4" fillId="5" borderId="68" xfId="0" applyFont="1" applyFill="1" applyBorder="1" applyAlignment="1">
      <alignment horizontal="center" vertical="center" wrapText="1"/>
    </xf>
    <xf numFmtId="0" fontId="6" fillId="3" borderId="32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8" fillId="3" borderId="65" xfId="0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7" borderId="1" xfId="0" applyFill="1" applyBorder="1" applyAlignment="1">
      <alignment horizontal="center"/>
    </xf>
    <xf numFmtId="0" fontId="0" fillId="7" borderId="4" xfId="0" applyFill="1" applyBorder="1" applyAlignment="1">
      <alignment horizontal="center"/>
    </xf>
    <xf numFmtId="0" fontId="0" fillId="7" borderId="3" xfId="0" applyFill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/>
    </xf>
  </cellXfs>
  <cellStyles count="3">
    <cellStyle name="Hiperlink" xfId="2" builtinId="8"/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C2DDB1"/>
      <color rgb="FFFFF8E5"/>
      <color rgb="FFCCFF66"/>
      <color rgb="FFCC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youtube.com/watch?v=z40_lHuLOiA" TargetMode="External"/><Relationship Id="rId2" Type="http://schemas.openxmlformats.org/officeDocument/2006/relationships/hyperlink" Target="https://www.youtube.com/watch?v=RhYEwS0xc3A" TargetMode="External"/><Relationship Id="rId1" Type="http://schemas.openxmlformats.org/officeDocument/2006/relationships/hyperlink" Target="https://www.youtube.com/watch?v=iYMN8Ig4Wok" TargetMode="External"/><Relationship Id="rId4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8"/>
  <sheetViews>
    <sheetView tabSelected="1" view="pageBreakPreview" zoomScale="70" zoomScaleNormal="70" zoomScaleSheetLayoutView="70" workbookViewId="0">
      <pane xSplit="3" ySplit="2" topLeftCell="D3" activePane="bottomRight" state="frozen"/>
      <selection pane="topRight" activeCell="F1" sqref="F1"/>
      <selection pane="bottomLeft" activeCell="A4" sqref="A4"/>
      <selection pane="bottomRight" activeCell="D27" sqref="D27"/>
    </sheetView>
  </sheetViews>
  <sheetFormatPr defaultColWidth="9.140625" defaultRowHeight="0" customHeight="1" zeroHeight="1" x14ac:dyDescent="0.25"/>
  <cols>
    <col min="1" max="1" width="7.7109375" style="23" customWidth="1"/>
    <col min="2" max="2" width="40.42578125" style="23" customWidth="1"/>
    <col min="3" max="3" width="17.42578125" style="23" customWidth="1"/>
    <col min="4" max="4" width="17.140625" style="23" customWidth="1"/>
    <col min="5" max="5" width="21" style="23" customWidth="1"/>
    <col min="6" max="16384" width="9.140625" style="23"/>
  </cols>
  <sheetData>
    <row r="1" spans="1:9" s="20" customFormat="1" ht="46.5" hidden="1" customHeight="1" thickBot="1" x14ac:dyDescent="0.3">
      <c r="A1" s="152" t="s">
        <v>0</v>
      </c>
      <c r="B1" s="153"/>
      <c r="C1" s="153"/>
      <c r="D1" s="101"/>
      <c r="E1" s="100"/>
    </row>
    <row r="2" spans="1:9" s="22" customFormat="1" ht="75" customHeight="1" thickBot="1" x14ac:dyDescent="0.3">
      <c r="A2" s="125" t="s">
        <v>88</v>
      </c>
      <c r="B2" s="126" t="s">
        <v>87</v>
      </c>
      <c r="C2" s="126" t="s">
        <v>86</v>
      </c>
      <c r="D2" s="126" t="s">
        <v>22</v>
      </c>
      <c r="E2" s="127" t="s">
        <v>23</v>
      </c>
    </row>
    <row r="3" spans="1:9" s="22" customFormat="1" ht="47.25" customHeight="1" x14ac:dyDescent="0.25">
      <c r="A3" s="128">
        <v>1</v>
      </c>
      <c r="B3" s="129" t="s">
        <v>24</v>
      </c>
      <c r="C3" s="130">
        <v>96</v>
      </c>
      <c r="D3" s="131">
        <v>0.124</v>
      </c>
      <c r="E3" s="132">
        <v>11.904</v>
      </c>
      <c r="G3" s="88"/>
      <c r="H3" s="88"/>
      <c r="I3" s="88"/>
    </row>
    <row r="4" spans="1:9" s="22" customFormat="1" ht="47.25" customHeight="1" x14ac:dyDescent="0.25">
      <c r="A4" s="133">
        <v>2</v>
      </c>
      <c r="B4" s="134" t="s">
        <v>27</v>
      </c>
      <c r="C4" s="135">
        <v>96</v>
      </c>
      <c r="D4" s="136">
        <v>0.35</v>
      </c>
      <c r="E4" s="137">
        <v>33.599999999999994</v>
      </c>
    </row>
    <row r="5" spans="1:9" s="22" customFormat="1" ht="47.25" customHeight="1" x14ac:dyDescent="0.25">
      <c r="A5" s="133">
        <v>3</v>
      </c>
      <c r="B5" s="134" t="s">
        <v>28</v>
      </c>
      <c r="C5" s="135">
        <v>200</v>
      </c>
      <c r="D5" s="136">
        <v>2.9742857142857142</v>
      </c>
      <c r="E5" s="137">
        <v>594.85714285714289</v>
      </c>
    </row>
    <row r="6" spans="1:9" s="22" customFormat="1" ht="47.25" customHeight="1" x14ac:dyDescent="0.25">
      <c r="A6" s="133">
        <v>4</v>
      </c>
      <c r="B6" s="134" t="s">
        <v>29</v>
      </c>
      <c r="C6" s="135">
        <v>200</v>
      </c>
      <c r="D6" s="136">
        <v>4.3849999999999998</v>
      </c>
      <c r="E6" s="137">
        <v>877</v>
      </c>
    </row>
    <row r="7" spans="1:9" s="22" customFormat="1" ht="47.25" customHeight="1" x14ac:dyDescent="0.25">
      <c r="A7" s="138">
        <v>5</v>
      </c>
      <c r="B7" s="139" t="s">
        <v>30</v>
      </c>
      <c r="C7" s="140">
        <v>100</v>
      </c>
      <c r="D7" s="136">
        <v>9.01</v>
      </c>
      <c r="E7" s="137">
        <v>901</v>
      </c>
    </row>
    <row r="8" spans="1:9" s="22" customFormat="1" ht="47.25" customHeight="1" x14ac:dyDescent="0.25">
      <c r="A8" s="133">
        <v>6</v>
      </c>
      <c r="B8" s="134" t="s">
        <v>31</v>
      </c>
      <c r="C8" s="135">
        <v>60</v>
      </c>
      <c r="D8" s="136">
        <v>5.4885714285714275</v>
      </c>
      <c r="E8" s="137">
        <v>329.31428571428563</v>
      </c>
    </row>
    <row r="9" spans="1:9" s="22" customFormat="1" ht="47.25" customHeight="1" x14ac:dyDescent="0.25">
      <c r="A9" s="133">
        <v>7</v>
      </c>
      <c r="B9" s="134" t="s">
        <v>32</v>
      </c>
      <c r="C9" s="135">
        <v>60</v>
      </c>
      <c r="D9" s="136">
        <v>5.5</v>
      </c>
      <c r="E9" s="137">
        <v>330</v>
      </c>
    </row>
    <row r="10" spans="1:9" s="22" customFormat="1" ht="47.25" customHeight="1" x14ac:dyDescent="0.25">
      <c r="A10" s="138">
        <v>8</v>
      </c>
      <c r="B10" s="139" t="s">
        <v>33</v>
      </c>
      <c r="C10" s="140">
        <v>80</v>
      </c>
      <c r="D10" s="136">
        <v>13.947777777777778</v>
      </c>
      <c r="E10" s="137">
        <v>1115.8222222222223</v>
      </c>
    </row>
    <row r="11" spans="1:9" s="22" customFormat="1" ht="47.25" customHeight="1" x14ac:dyDescent="0.25">
      <c r="A11" s="133">
        <v>9</v>
      </c>
      <c r="B11" s="134" t="s">
        <v>34</v>
      </c>
      <c r="C11" s="135">
        <v>60</v>
      </c>
      <c r="D11" s="136">
        <v>2.4260000000000002</v>
      </c>
      <c r="E11" s="137">
        <v>145.56</v>
      </c>
    </row>
    <row r="12" spans="1:9" s="22" customFormat="1" ht="47.25" customHeight="1" x14ac:dyDescent="0.25">
      <c r="A12" s="133">
        <v>10</v>
      </c>
      <c r="B12" s="134" t="s">
        <v>35</v>
      </c>
      <c r="C12" s="135">
        <v>80</v>
      </c>
      <c r="D12" s="136">
        <v>2.665</v>
      </c>
      <c r="E12" s="137">
        <v>213.2</v>
      </c>
    </row>
    <row r="13" spans="1:9" s="22" customFormat="1" ht="47.25" customHeight="1" x14ac:dyDescent="0.25">
      <c r="A13" s="138">
        <v>11</v>
      </c>
      <c r="B13" s="139" t="s">
        <v>36</v>
      </c>
      <c r="C13" s="140">
        <v>190</v>
      </c>
      <c r="D13" s="136">
        <v>2.19</v>
      </c>
      <c r="E13" s="137">
        <v>416.09999999999997</v>
      </c>
    </row>
    <row r="14" spans="1:9" s="22" customFormat="1" ht="47.25" customHeight="1" x14ac:dyDescent="0.25">
      <c r="A14" s="133">
        <v>12</v>
      </c>
      <c r="B14" s="134" t="s">
        <v>37</v>
      </c>
      <c r="C14" s="135">
        <v>190</v>
      </c>
      <c r="D14" s="136">
        <v>4.4999999999999998E-2</v>
      </c>
      <c r="E14" s="137">
        <v>8.5499999999999989</v>
      </c>
    </row>
    <row r="15" spans="1:9" s="22" customFormat="1" ht="47.25" customHeight="1" x14ac:dyDescent="0.25">
      <c r="A15" s="133">
        <v>13</v>
      </c>
      <c r="B15" s="134" t="s">
        <v>38</v>
      </c>
      <c r="C15" s="135">
        <v>48</v>
      </c>
      <c r="D15" s="136">
        <v>68.008333333333326</v>
      </c>
      <c r="E15" s="137">
        <v>3264.3999999999996</v>
      </c>
    </row>
    <row r="16" spans="1:9" s="22" customFormat="1" ht="47.25" customHeight="1" x14ac:dyDescent="0.25">
      <c r="A16" s="133">
        <v>14</v>
      </c>
      <c r="B16" s="134" t="s">
        <v>39</v>
      </c>
      <c r="C16" s="135">
        <v>48</v>
      </c>
      <c r="D16" s="136">
        <v>11.443749999999998</v>
      </c>
      <c r="E16" s="137">
        <v>549.29999999999995</v>
      </c>
    </row>
    <row r="17" spans="1:13" s="22" customFormat="1" ht="47.25" customHeight="1" x14ac:dyDescent="0.25">
      <c r="A17" s="133">
        <v>15</v>
      </c>
      <c r="B17" s="134" t="s">
        <v>40</v>
      </c>
      <c r="C17" s="135">
        <v>24</v>
      </c>
      <c r="D17" s="136">
        <v>41.16</v>
      </c>
      <c r="E17" s="137">
        <v>987.83999999999992</v>
      </c>
    </row>
    <row r="18" spans="1:13" s="22" customFormat="1" ht="47.25" customHeight="1" x14ac:dyDescent="0.25">
      <c r="A18" s="133">
        <v>16</v>
      </c>
      <c r="B18" s="134" t="s">
        <v>41</v>
      </c>
      <c r="C18" s="135">
        <v>200</v>
      </c>
      <c r="D18" s="136">
        <v>10.870000000000001</v>
      </c>
      <c r="E18" s="137">
        <v>2174</v>
      </c>
    </row>
    <row r="19" spans="1:13" s="22" customFormat="1" ht="47.25" customHeight="1" x14ac:dyDescent="0.25">
      <c r="A19" s="133">
        <v>17</v>
      </c>
      <c r="B19" s="134" t="s">
        <v>42</v>
      </c>
      <c r="C19" s="135">
        <v>400</v>
      </c>
      <c r="D19" s="136">
        <v>1.2</v>
      </c>
      <c r="E19" s="137">
        <v>480</v>
      </c>
    </row>
    <row r="20" spans="1:13" s="22" customFormat="1" ht="47.25" customHeight="1" x14ac:dyDescent="0.25">
      <c r="A20" s="133">
        <v>18</v>
      </c>
      <c r="B20" s="134" t="s">
        <v>43</v>
      </c>
      <c r="C20" s="135">
        <v>200</v>
      </c>
      <c r="D20" s="136">
        <v>10.225000000000001</v>
      </c>
      <c r="E20" s="137">
        <v>2045.0000000000002</v>
      </c>
    </row>
    <row r="21" spans="1:13" s="22" customFormat="1" ht="47.25" customHeight="1" x14ac:dyDescent="0.25">
      <c r="A21" s="133">
        <v>19</v>
      </c>
      <c r="B21" s="134" t="s">
        <v>44</v>
      </c>
      <c r="C21" s="135">
        <v>190</v>
      </c>
      <c r="D21" s="136">
        <v>36.821249999999999</v>
      </c>
      <c r="E21" s="137">
        <v>6996.0374999999995</v>
      </c>
    </row>
    <row r="22" spans="1:13" s="22" customFormat="1" ht="47.25" customHeight="1" x14ac:dyDescent="0.25">
      <c r="A22" s="133">
        <v>20</v>
      </c>
      <c r="B22" s="134" t="s">
        <v>45</v>
      </c>
      <c r="C22" s="135">
        <v>64</v>
      </c>
      <c r="D22" s="136">
        <v>31.148000000000003</v>
      </c>
      <c r="E22" s="137">
        <v>1993.4720000000002</v>
      </c>
    </row>
    <row r="23" spans="1:13" s="22" customFormat="1" ht="47.25" customHeight="1" x14ac:dyDescent="0.25">
      <c r="A23" s="133">
        <v>21</v>
      </c>
      <c r="B23" s="141" t="s">
        <v>46</v>
      </c>
      <c r="C23" s="135">
        <v>64</v>
      </c>
      <c r="D23" s="136">
        <v>12.165714285714285</v>
      </c>
      <c r="E23" s="137">
        <v>778.60571428571427</v>
      </c>
    </row>
    <row r="24" spans="1:13" s="22" customFormat="1" ht="47.25" customHeight="1" x14ac:dyDescent="0.25">
      <c r="A24" s="138">
        <v>22</v>
      </c>
      <c r="B24" s="139" t="s">
        <v>47</v>
      </c>
      <c r="C24" s="140">
        <v>64</v>
      </c>
      <c r="D24" s="136">
        <v>6.253333333333333</v>
      </c>
      <c r="E24" s="137">
        <v>400.21333333333331</v>
      </c>
    </row>
    <row r="25" spans="1:13" s="22" customFormat="1" ht="47.25" customHeight="1" x14ac:dyDescent="0.25">
      <c r="A25" s="133">
        <v>23</v>
      </c>
      <c r="B25" s="134" t="s">
        <v>48</v>
      </c>
      <c r="C25" s="135">
        <v>44</v>
      </c>
      <c r="D25" s="136">
        <v>58.599999999999994</v>
      </c>
      <c r="E25" s="137">
        <v>2578.3999999999996</v>
      </c>
    </row>
    <row r="26" spans="1:13" s="22" customFormat="1" ht="47.25" customHeight="1" x14ac:dyDescent="0.25">
      <c r="A26" s="133">
        <v>24</v>
      </c>
      <c r="B26" s="134" t="s">
        <v>49</v>
      </c>
      <c r="C26" s="135">
        <v>60</v>
      </c>
      <c r="D26" s="136">
        <v>62.598888888888901</v>
      </c>
      <c r="E26" s="137">
        <v>3755.9333333333338</v>
      </c>
    </row>
    <row r="27" spans="1:13" s="22" customFormat="1" ht="47.25" customHeight="1" x14ac:dyDescent="0.25">
      <c r="A27" s="133">
        <v>25</v>
      </c>
      <c r="B27" s="134" t="s">
        <v>50</v>
      </c>
      <c r="C27" s="135">
        <v>44</v>
      </c>
      <c r="D27" s="136">
        <v>63.667777777777779</v>
      </c>
      <c r="E27" s="137">
        <v>2801.3822222222225</v>
      </c>
    </row>
    <row r="28" spans="1:13" s="22" customFormat="1" ht="47.25" customHeight="1" x14ac:dyDescent="0.25">
      <c r="A28" s="133">
        <v>26</v>
      </c>
      <c r="B28" s="134" t="s">
        <v>51</v>
      </c>
      <c r="C28" s="135">
        <v>44</v>
      </c>
      <c r="D28" s="136">
        <v>61.886666666666656</v>
      </c>
      <c r="E28" s="137">
        <v>2723.0133333333329</v>
      </c>
    </row>
    <row r="29" spans="1:13" s="22" customFormat="1" ht="47.25" customHeight="1" thickBot="1" x14ac:dyDescent="0.3">
      <c r="A29" s="142">
        <v>27</v>
      </c>
      <c r="B29" s="143" t="s">
        <v>52</v>
      </c>
      <c r="C29" s="144">
        <v>48</v>
      </c>
      <c r="D29" s="145">
        <v>64.410000000000011</v>
      </c>
      <c r="E29" s="146">
        <v>3091.6800000000003</v>
      </c>
    </row>
    <row r="30" spans="1:13" s="84" customFormat="1" ht="45.75" customHeight="1" thickBot="1" x14ac:dyDescent="0.3">
      <c r="A30" s="150" t="s">
        <v>53</v>
      </c>
      <c r="B30" s="151"/>
      <c r="C30" s="151"/>
      <c r="D30" s="147">
        <f ca="1">SUM(D3:D30)</f>
        <v>589.56434920634911</v>
      </c>
      <c r="E30" s="148">
        <f>SUM(E3:E29)</f>
        <v>39596.185087301594</v>
      </c>
    </row>
    <row r="31" spans="1:13" s="84" customFormat="1" ht="45.75" customHeight="1" x14ac:dyDescent="0.25">
      <c r="A31" s="86"/>
      <c r="B31" s="86"/>
      <c r="C31" s="86"/>
      <c r="E31" s="85"/>
    </row>
    <row r="32" spans="1:13" ht="0" hidden="1" customHeight="1" x14ac:dyDescent="0.25">
      <c r="A32" s="26"/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</row>
    <row r="33" spans="1:13" ht="0" hidden="1" customHeight="1" x14ac:dyDescent="0.25">
      <c r="A33" s="26"/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</row>
    <row r="34" spans="1:13" ht="0" hidden="1" customHeight="1" x14ac:dyDescent="0.25">
      <c r="A34" s="26"/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</row>
    <row r="35" spans="1:13" ht="14.25" customHeight="1" x14ac:dyDescent="0.25">
      <c r="A35" s="26"/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</row>
    <row r="36" spans="1:13" ht="0" hidden="1" customHeight="1" x14ac:dyDescent="0.25">
      <c r="A36" s="26"/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</row>
    <row r="37" spans="1:13" ht="30.75" customHeight="1" x14ac:dyDescent="0.25">
      <c r="A37" s="149"/>
      <c r="B37" s="149"/>
      <c r="C37" s="149"/>
      <c r="D37" s="26"/>
      <c r="E37" s="26"/>
      <c r="F37" s="26"/>
      <c r="G37" s="26"/>
      <c r="H37" s="26"/>
      <c r="I37" s="26"/>
      <c r="J37" s="26"/>
      <c r="K37" s="26"/>
      <c r="L37" s="26"/>
      <c r="M37" s="26"/>
    </row>
    <row r="38" spans="1:13" ht="37.5" customHeight="1" x14ac:dyDescent="0.25">
      <c r="A38" s="149"/>
      <c r="B38" s="149"/>
      <c r="C38" s="149"/>
      <c r="D38" s="26"/>
      <c r="E38" s="26"/>
      <c r="F38" s="26"/>
      <c r="G38" s="26"/>
      <c r="H38" s="26"/>
      <c r="I38" s="26"/>
      <c r="J38" s="26"/>
      <c r="K38" s="26"/>
      <c r="L38" s="26"/>
      <c r="M38" s="26"/>
    </row>
    <row r="39" spans="1:13" ht="34.5" customHeight="1" x14ac:dyDescent="0.25">
      <c r="A39" s="26"/>
      <c r="B39" s="43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</row>
    <row r="40" spans="1:13" ht="36.75" customHeight="1" x14ac:dyDescent="0.25">
      <c r="A40" s="26"/>
      <c r="B40" s="43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</row>
    <row r="41" spans="1:13" ht="36.75" customHeight="1" x14ac:dyDescent="0.25">
      <c r="A41" s="26"/>
      <c r="B41" s="43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</row>
    <row r="42" spans="1:13" ht="36.75" customHeight="1" x14ac:dyDescent="0.25">
      <c r="A42" s="26"/>
      <c r="B42" s="43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</row>
    <row r="43" spans="1:13" ht="36.75" customHeight="1" x14ac:dyDescent="0.25">
      <c r="A43" s="26"/>
      <c r="B43" s="43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</row>
    <row r="44" spans="1:13" ht="36.75" customHeight="1" x14ac:dyDescent="0.25">
      <c r="A44" s="26"/>
      <c r="B44" s="43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</row>
    <row r="45" spans="1:13" ht="36.75" customHeight="1" x14ac:dyDescent="0.25">
      <c r="A45" s="26"/>
      <c r="B45" s="43"/>
      <c r="C45" s="26"/>
      <c r="D45" s="28"/>
      <c r="E45" s="26"/>
      <c r="F45" s="26"/>
      <c r="G45" s="26"/>
      <c r="H45" s="26"/>
      <c r="I45" s="26"/>
      <c r="J45" s="26"/>
      <c r="K45" s="26"/>
      <c r="L45" s="26"/>
      <c r="M45" s="26"/>
    </row>
    <row r="46" spans="1:13" ht="15" hidden="1" x14ac:dyDescent="0.25">
      <c r="A46" s="26"/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</row>
    <row r="47" spans="1:13" ht="15" hidden="1" x14ac:dyDescent="0.25">
      <c r="A47" s="26"/>
      <c r="B47" s="26"/>
      <c r="C47" s="26"/>
      <c r="D47" s="27"/>
      <c r="E47" s="26"/>
      <c r="F47" s="26"/>
      <c r="G47" s="26"/>
      <c r="H47" s="26"/>
      <c r="I47" s="26"/>
      <c r="J47" s="26"/>
      <c r="K47" s="26"/>
      <c r="L47" s="26"/>
      <c r="M47" s="26"/>
    </row>
    <row r="48" spans="1:13" ht="0" hidden="1" customHeight="1" x14ac:dyDescent="0.25">
      <c r="A48" s="26"/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</row>
    <row r="49" spans="1:13" ht="15" hidden="1" x14ac:dyDescent="0.25">
      <c r="A49" s="26"/>
      <c r="B49" s="26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</row>
    <row r="50" spans="1:13" ht="15" hidden="1" x14ac:dyDescent="0.25">
      <c r="A50" s="26"/>
      <c r="B50" s="26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</row>
    <row r="51" spans="1:13" ht="0" hidden="1" customHeight="1" x14ac:dyDescent="0.25">
      <c r="A51" s="26"/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</row>
    <row r="52" spans="1:13" ht="0" hidden="1" customHeight="1" x14ac:dyDescent="0.25">
      <c r="A52" s="26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</row>
    <row r="53" spans="1:13" ht="0" hidden="1" customHeight="1" x14ac:dyDescent="0.25">
      <c r="A53" s="26"/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</row>
    <row r="54" spans="1:13" ht="15" hidden="1" x14ac:dyDescent="0.25">
      <c r="A54" s="26"/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</row>
    <row r="55" spans="1:13" ht="0" hidden="1" customHeight="1" x14ac:dyDescent="0.25">
      <c r="A55" s="26"/>
      <c r="B55" s="26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</row>
    <row r="56" spans="1:13" ht="0" hidden="1" customHeight="1" x14ac:dyDescent="0.25">
      <c r="A56" s="26"/>
      <c r="B56" s="26"/>
      <c r="C56" s="26"/>
      <c r="D56" s="28"/>
      <c r="E56" s="26"/>
      <c r="F56" s="26"/>
      <c r="G56" s="26"/>
      <c r="H56" s="26"/>
      <c r="I56" s="26"/>
      <c r="J56" s="26"/>
      <c r="K56" s="26"/>
      <c r="L56" s="26"/>
      <c r="M56" s="26"/>
    </row>
    <row r="57" spans="1:13" ht="0" hidden="1" customHeight="1" x14ac:dyDescent="0.25">
      <c r="A57" s="26"/>
      <c r="B57" s="26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</row>
    <row r="58" spans="1:13" ht="15" hidden="1" x14ac:dyDescent="0.25">
      <c r="A58" s="26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</row>
  </sheetData>
  <mergeCells count="4">
    <mergeCell ref="A37:C37"/>
    <mergeCell ref="A38:C38"/>
    <mergeCell ref="A30:C30"/>
    <mergeCell ref="A1:C1"/>
  </mergeCells>
  <printOptions horizontalCentered="1" verticalCentered="1"/>
  <pageMargins left="0.31496062992125984" right="0.31496062992125984" top="0.59055118110236227" bottom="0.78740157480314965" header="0.31496062992125984" footer="0.31496062992125984"/>
  <pageSetup paperSize="9" scale="3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9CC5F8-55DA-4BA9-9384-56EDE93AB450}">
  <dimension ref="A1:AE59"/>
  <sheetViews>
    <sheetView view="pageBreakPreview" zoomScale="70" zoomScaleNormal="70" zoomScaleSheetLayoutView="70" workbookViewId="0">
      <pane xSplit="3" ySplit="3" topLeftCell="J4" activePane="bottomRight" state="frozen"/>
      <selection pane="topRight" activeCell="F1" sqref="F1"/>
      <selection pane="bottomLeft" activeCell="A4" sqref="A4"/>
      <selection pane="bottomRight" activeCell="S4" sqref="S4"/>
    </sheetView>
  </sheetViews>
  <sheetFormatPr defaultColWidth="9.140625" defaultRowHeight="0" customHeight="1" zeroHeight="1" x14ac:dyDescent="0.25"/>
  <cols>
    <col min="1" max="1" width="7.7109375" style="23" customWidth="1"/>
    <col min="2" max="2" width="40.42578125" style="23" customWidth="1"/>
    <col min="3" max="3" width="14.7109375" style="23" customWidth="1"/>
    <col min="4" max="4" width="19.42578125" style="23" customWidth="1"/>
    <col min="5" max="5" width="18.7109375" style="23" customWidth="1"/>
    <col min="6" max="7" width="19.5703125" style="23" customWidth="1"/>
    <col min="8" max="8" width="28.7109375" style="23" customWidth="1"/>
    <col min="9" max="9" width="22.42578125" style="23" bestFit="1" customWidth="1"/>
    <col min="10" max="10" width="18.85546875" style="23" bestFit="1" customWidth="1"/>
    <col min="11" max="12" width="25.140625" style="23" bestFit="1" customWidth="1"/>
    <col min="13" max="13" width="23.85546875" style="23" customWidth="1"/>
    <col min="14" max="14" width="23.140625" style="23" bestFit="1" customWidth="1"/>
    <col min="15" max="15" width="24.28515625" style="23" bestFit="1" customWidth="1"/>
    <col min="16" max="16" width="19.42578125" style="23" customWidth="1"/>
    <col min="17" max="17" width="17.7109375" style="23" customWidth="1"/>
    <col min="18" max="18" width="17.140625" style="23" customWidth="1"/>
    <col min="19" max="19" width="18.140625" style="23" customWidth="1"/>
    <col min="20" max="20" width="14.85546875" style="23" customWidth="1"/>
    <col min="21" max="21" width="19" style="23" customWidth="1"/>
    <col min="22" max="22" width="22.5703125" style="23" customWidth="1"/>
    <col min="23" max="23" width="21" style="23" customWidth="1"/>
    <col min="24" max="16384" width="9.140625" style="23"/>
  </cols>
  <sheetData>
    <row r="1" spans="1:27" s="20" customFormat="1" ht="46.5" hidden="1" customHeight="1" thickBot="1" x14ac:dyDescent="0.3">
      <c r="A1" s="170" t="s">
        <v>0</v>
      </c>
      <c r="B1" s="171"/>
      <c r="C1" s="172"/>
      <c r="D1" s="31"/>
      <c r="E1" s="32"/>
      <c r="F1" s="176" t="s">
        <v>1</v>
      </c>
      <c r="G1" s="177"/>
      <c r="H1" s="177"/>
      <c r="I1" s="178"/>
      <c r="J1" s="178"/>
      <c r="K1" s="177"/>
      <c r="L1" s="177"/>
      <c r="M1" s="177"/>
      <c r="N1" s="177"/>
      <c r="O1" s="179"/>
      <c r="P1" s="180"/>
      <c r="Q1" s="181"/>
      <c r="R1" s="181"/>
      <c r="S1" s="181"/>
      <c r="T1" s="182"/>
      <c r="U1" s="182"/>
      <c r="V1" s="182"/>
      <c r="W1" s="182"/>
    </row>
    <row r="2" spans="1:27" s="21" customFormat="1" ht="126.75" customHeight="1" thickBot="1" x14ac:dyDescent="0.3">
      <c r="A2" s="173"/>
      <c r="B2" s="174"/>
      <c r="C2" s="175"/>
      <c r="D2" s="183" t="s">
        <v>2</v>
      </c>
      <c r="E2" s="184"/>
      <c r="F2" s="184" t="s">
        <v>3</v>
      </c>
      <c r="G2" s="184"/>
      <c r="H2" s="103" t="s">
        <v>4</v>
      </c>
      <c r="I2" s="104" t="s">
        <v>5</v>
      </c>
      <c r="J2" s="105" t="s">
        <v>6</v>
      </c>
      <c r="K2" s="105" t="s">
        <v>7</v>
      </c>
      <c r="L2" s="105" t="s">
        <v>8</v>
      </c>
      <c r="M2" s="105" t="s">
        <v>9</v>
      </c>
      <c r="N2" s="105" t="s">
        <v>10</v>
      </c>
      <c r="O2" s="106" t="s">
        <v>11</v>
      </c>
      <c r="P2" s="166" t="s">
        <v>12</v>
      </c>
      <c r="Q2" s="168" t="s">
        <v>13</v>
      </c>
      <c r="R2" s="156" t="s">
        <v>89</v>
      </c>
      <c r="S2" s="158" t="s">
        <v>14</v>
      </c>
      <c r="T2" s="160" t="s">
        <v>15</v>
      </c>
      <c r="U2" s="162" t="s">
        <v>16</v>
      </c>
      <c r="V2" s="164" t="s">
        <v>17</v>
      </c>
      <c r="W2" s="164" t="s">
        <v>18</v>
      </c>
    </row>
    <row r="3" spans="1:27" s="22" customFormat="1" ht="75" customHeight="1" thickBot="1" x14ac:dyDescent="0.3">
      <c r="A3" s="107" t="s">
        <v>19</v>
      </c>
      <c r="B3" s="108" t="s">
        <v>20</v>
      </c>
      <c r="C3" s="109" t="s">
        <v>21</v>
      </c>
      <c r="D3" s="110" t="s">
        <v>22</v>
      </c>
      <c r="E3" s="111" t="s">
        <v>23</v>
      </c>
      <c r="F3" s="110" t="s">
        <v>22</v>
      </c>
      <c r="G3" s="111" t="s">
        <v>23</v>
      </c>
      <c r="H3" s="110" t="s">
        <v>22</v>
      </c>
      <c r="I3" s="110" t="s">
        <v>22</v>
      </c>
      <c r="J3" s="110" t="s">
        <v>22</v>
      </c>
      <c r="K3" s="110" t="s">
        <v>22</v>
      </c>
      <c r="L3" s="110" t="s">
        <v>22</v>
      </c>
      <c r="M3" s="110" t="s">
        <v>22</v>
      </c>
      <c r="N3" s="110" t="s">
        <v>22</v>
      </c>
      <c r="O3" s="112" t="s">
        <v>22</v>
      </c>
      <c r="P3" s="167"/>
      <c r="Q3" s="169"/>
      <c r="R3" s="157"/>
      <c r="S3" s="159"/>
      <c r="T3" s="161"/>
      <c r="U3" s="163"/>
      <c r="V3" s="165"/>
      <c r="W3" s="165"/>
    </row>
    <row r="4" spans="1:27" s="22" customFormat="1" ht="47.25" customHeight="1" x14ac:dyDescent="0.25">
      <c r="A4" s="66">
        <v>2</v>
      </c>
      <c r="B4" s="66" t="s">
        <v>24</v>
      </c>
      <c r="C4" s="67">
        <v>96</v>
      </c>
      <c r="D4" s="57">
        <v>0.14000000000000001</v>
      </c>
      <c r="E4" s="36">
        <v>13.44</v>
      </c>
      <c r="F4" s="35">
        <v>0.13</v>
      </c>
      <c r="G4" s="36">
        <v>12.48</v>
      </c>
      <c r="H4" s="37" t="s">
        <v>25</v>
      </c>
      <c r="I4" s="37" t="s">
        <v>25</v>
      </c>
      <c r="J4" s="35">
        <v>0.1</v>
      </c>
      <c r="K4" s="38">
        <v>0.15</v>
      </c>
      <c r="L4" s="37" t="s">
        <v>25</v>
      </c>
      <c r="M4" s="38">
        <v>0.1</v>
      </c>
      <c r="N4" s="37" t="s">
        <v>25</v>
      </c>
      <c r="O4" s="58">
        <v>0.23</v>
      </c>
      <c r="P4" s="64">
        <f>AVERAGE(J4,F4,D4,K4,M4,O4)</f>
        <v>0.14166666666666666</v>
      </c>
      <c r="Q4" s="59">
        <f>P4*1.25</f>
        <v>0.17708333333333331</v>
      </c>
      <c r="R4" s="102">
        <f>AVERAGE(J4,F4,D4,K4,M4)</f>
        <v>0.124</v>
      </c>
      <c r="S4" s="117">
        <f>MEDIAN(J4,F4,D4,K4,M4)</f>
        <v>0.13</v>
      </c>
      <c r="T4" s="65">
        <f>_xlfn.STDEV.P(J4,F4,D4,K4,M4)</f>
        <v>2.0591260281974052E-2</v>
      </c>
      <c r="U4" s="89">
        <f>(_xlfn.STDEV.P(J4,F4,D4,K4,M4)/R4)*100</f>
        <v>16.605855066108109</v>
      </c>
      <c r="V4" s="77" t="s">
        <v>26</v>
      </c>
      <c r="W4" s="87">
        <f>R4*C4</f>
        <v>11.904</v>
      </c>
      <c r="Y4" s="88"/>
      <c r="Z4" s="88"/>
      <c r="AA4" s="88"/>
    </row>
    <row r="5" spans="1:27" s="22" customFormat="1" ht="47.25" customHeight="1" x14ac:dyDescent="0.25">
      <c r="A5" s="68">
        <v>2</v>
      </c>
      <c r="B5" s="68" t="s">
        <v>27</v>
      </c>
      <c r="C5" s="69">
        <v>96</v>
      </c>
      <c r="D5" s="29">
        <v>0.33</v>
      </c>
      <c r="E5" s="25">
        <v>31.68</v>
      </c>
      <c r="F5" s="29">
        <v>0.35</v>
      </c>
      <c r="G5" s="25">
        <v>33.6</v>
      </c>
      <c r="H5" s="37" t="s">
        <v>25</v>
      </c>
      <c r="I5" s="37" t="s">
        <v>25</v>
      </c>
      <c r="J5" s="37" t="s">
        <v>25</v>
      </c>
      <c r="K5" s="39">
        <v>0.37</v>
      </c>
      <c r="L5" s="37" t="s">
        <v>25</v>
      </c>
      <c r="M5" s="40">
        <v>0.16</v>
      </c>
      <c r="N5" s="37" t="s">
        <v>25</v>
      </c>
      <c r="O5" s="38">
        <v>0.38</v>
      </c>
      <c r="P5" s="24">
        <f>AVERAGE(F5,D5,K5,M5,O5)</f>
        <v>0.31799999999999995</v>
      </c>
      <c r="Q5" s="60">
        <f>P5*1.25</f>
        <v>0.39749999999999996</v>
      </c>
      <c r="R5" s="118">
        <f>AVERAGE(F5,D5,K5,M5,O5)</f>
        <v>0.31799999999999995</v>
      </c>
      <c r="S5" s="115">
        <f>MEDIAN(F5,D5,K5,M5,O5)</f>
        <v>0.35</v>
      </c>
      <c r="T5" s="50">
        <f>_xlfn.STDEV.P(F5,D5,K5,M5,O5)</f>
        <v>8.0845531725631109E-2</v>
      </c>
      <c r="U5" s="56">
        <f>(_xlfn.STDEV.P(F5,D5,K5,M5,O5)/R5)*100</f>
        <v>25.42312318416073</v>
      </c>
      <c r="V5" s="77" t="s">
        <v>14</v>
      </c>
      <c r="W5" s="81">
        <f>S5*C5</f>
        <v>33.599999999999994</v>
      </c>
    </row>
    <row r="6" spans="1:27" s="22" customFormat="1" ht="47.25" customHeight="1" x14ac:dyDescent="0.25">
      <c r="A6" s="68">
        <v>3</v>
      </c>
      <c r="B6" s="68" t="s">
        <v>28</v>
      </c>
      <c r="C6" s="69">
        <v>200</v>
      </c>
      <c r="D6" s="51">
        <v>4.5</v>
      </c>
      <c r="E6" s="25">
        <v>900</v>
      </c>
      <c r="F6" s="51">
        <v>4.5999999999999996</v>
      </c>
      <c r="G6" s="25">
        <v>920</v>
      </c>
      <c r="H6" s="29">
        <v>2.94</v>
      </c>
      <c r="I6" s="29">
        <v>3.56</v>
      </c>
      <c r="J6" s="30">
        <v>2.0699999999999998</v>
      </c>
      <c r="K6" s="40">
        <v>3.37</v>
      </c>
      <c r="L6" s="40">
        <v>3.06</v>
      </c>
      <c r="M6" s="40">
        <v>2.42</v>
      </c>
      <c r="N6" s="52">
        <v>4.96</v>
      </c>
      <c r="O6" s="39">
        <v>3.4</v>
      </c>
      <c r="P6" s="24">
        <f>AVERAGE(H6,F6,I6,D6,K6,L6,M6,J6,N6,O6)</f>
        <v>3.4879999999999995</v>
      </c>
      <c r="Q6" s="60">
        <f t="shared" ref="Q6:Q30" si="0">P6*1.25</f>
        <v>4.3599999999999994</v>
      </c>
      <c r="R6" s="116">
        <f>AVERAGE(H6,I6,K6,L6,M6,J6,O6)</f>
        <v>2.9742857142857142</v>
      </c>
      <c r="S6" s="119">
        <f>MEDIAN(H6,I6,K6,L6,M6,J6,O6)</f>
        <v>3.06</v>
      </c>
      <c r="T6" s="50">
        <f>_xlfn.STDEV.P(H6,I6,K6,L6,M6,J6,O6)</f>
        <v>0.50911287389669013</v>
      </c>
      <c r="U6" s="55">
        <f>(_xlfn.STDEV.P(H6,I6,K6,L6,M6,J6,O6)/R6)*100</f>
        <v>17.117147537352693</v>
      </c>
      <c r="V6" s="77" t="s">
        <v>26</v>
      </c>
      <c r="W6" s="81">
        <f>R6*C6</f>
        <v>594.85714285714289</v>
      </c>
    </row>
    <row r="7" spans="1:27" s="22" customFormat="1" ht="47.25" customHeight="1" x14ac:dyDescent="0.25">
      <c r="A7" s="68">
        <v>4</v>
      </c>
      <c r="B7" s="68" t="s">
        <v>29</v>
      </c>
      <c r="C7" s="69">
        <v>200</v>
      </c>
      <c r="D7" s="51">
        <v>5.72</v>
      </c>
      <c r="E7" s="25">
        <v>1144</v>
      </c>
      <c r="F7" s="29">
        <v>5.16</v>
      </c>
      <c r="G7" s="25">
        <v>1032</v>
      </c>
      <c r="H7" s="29">
        <v>2.71</v>
      </c>
      <c r="I7" s="29">
        <v>4.68</v>
      </c>
      <c r="J7" s="29">
        <v>4.29</v>
      </c>
      <c r="K7" s="40">
        <v>4.51</v>
      </c>
      <c r="L7" s="40">
        <v>3.43</v>
      </c>
      <c r="M7" s="40">
        <v>2</v>
      </c>
      <c r="N7" s="52">
        <v>5.92</v>
      </c>
      <c r="O7" s="39">
        <v>4.4800000000000004</v>
      </c>
      <c r="P7" s="24">
        <f>AVERAGE(J7,H7,F7,I7,D7,K7,L7,M7,N7,O7)</f>
        <v>4.2900000000000009</v>
      </c>
      <c r="Q7" s="60">
        <f t="shared" si="0"/>
        <v>5.3625000000000007</v>
      </c>
      <c r="R7" s="118">
        <f>AVERAGE(J7,H7,F7,I7,K7,L7,M7,O7)</f>
        <v>3.9075000000000002</v>
      </c>
      <c r="S7" s="115">
        <f>MEDIAN(J7,H7,F7,I7,K7,L7,M7,O7)</f>
        <v>4.3849999999999998</v>
      </c>
      <c r="T7" s="50">
        <f>_xlfn.STDEV.P(J7,H7,F7,I7,K7,L7,M7,O7)</f>
        <v>1.0187707053110611</v>
      </c>
      <c r="U7" s="56">
        <f>(_xlfn.STDEV.P(J7,H7,F7,I7,K7,L7,M7,O7)/R7)*100</f>
        <v>26.072186956137202</v>
      </c>
      <c r="V7" s="77" t="s">
        <v>14</v>
      </c>
      <c r="W7" s="81">
        <f>S7*C7</f>
        <v>877</v>
      </c>
    </row>
    <row r="8" spans="1:27" s="22" customFormat="1" ht="47.25" customHeight="1" x14ac:dyDescent="0.25">
      <c r="A8" s="70">
        <v>5</v>
      </c>
      <c r="B8" s="70" t="s">
        <v>30</v>
      </c>
      <c r="C8" s="71">
        <v>100</v>
      </c>
      <c r="D8" s="29">
        <v>9.32</v>
      </c>
      <c r="E8" s="25">
        <v>932</v>
      </c>
      <c r="F8" s="29">
        <v>4.75</v>
      </c>
      <c r="G8" s="25">
        <v>475</v>
      </c>
      <c r="H8" s="37" t="s">
        <v>25</v>
      </c>
      <c r="I8" s="29">
        <v>10.5</v>
      </c>
      <c r="J8" s="54">
        <v>14.29</v>
      </c>
      <c r="K8" s="37" t="s">
        <v>25</v>
      </c>
      <c r="L8" s="30">
        <v>9.5</v>
      </c>
      <c r="M8" s="30">
        <v>11.35</v>
      </c>
      <c r="N8" s="37" t="s">
        <v>25</v>
      </c>
      <c r="O8" s="40">
        <v>8.64</v>
      </c>
      <c r="P8" s="24">
        <f>AVERAGE(F8,I8,D8,L8,M8,J8,O8)</f>
        <v>9.7642857142857142</v>
      </c>
      <c r="Q8" s="60">
        <f t="shared" si="0"/>
        <v>12.205357142857142</v>
      </c>
      <c r="R8" s="116">
        <f>AVERAGE(F8,I8,D8,L8,M8,O8)</f>
        <v>9.01</v>
      </c>
      <c r="S8" s="119">
        <f>MEDIAN(F8,I8,D8,L8,M8,O8)</f>
        <v>9.41</v>
      </c>
      <c r="T8" s="50">
        <f>_xlfn.STDEV.P(F8,I8,D8,L8,M8,O8)</f>
        <v>2.0942938348442546</v>
      </c>
      <c r="U8" s="55">
        <f>(_xlfn.STDEV.P(F8,I8,D8,L8,M8,O8)/R8)*100</f>
        <v>23.244104715252547</v>
      </c>
      <c r="V8" s="77" t="s">
        <v>26</v>
      </c>
      <c r="W8" s="81">
        <f>R8*C8</f>
        <v>901</v>
      </c>
    </row>
    <row r="9" spans="1:27" s="22" customFormat="1" ht="47.25" customHeight="1" x14ac:dyDescent="0.25">
      <c r="A9" s="68">
        <v>6</v>
      </c>
      <c r="B9" s="68" t="s">
        <v>31</v>
      </c>
      <c r="C9" s="69">
        <v>60</v>
      </c>
      <c r="D9" s="30">
        <v>7.21</v>
      </c>
      <c r="E9" s="25">
        <v>432.6</v>
      </c>
      <c r="F9" s="51">
        <v>8.5</v>
      </c>
      <c r="G9" s="25">
        <v>510</v>
      </c>
      <c r="H9" s="29">
        <v>5.25</v>
      </c>
      <c r="I9" s="51">
        <v>7.95</v>
      </c>
      <c r="J9" s="37" t="s">
        <v>25</v>
      </c>
      <c r="K9" s="39">
        <v>7.15</v>
      </c>
      <c r="L9" s="39">
        <v>4.38</v>
      </c>
      <c r="M9" s="39">
        <v>3.32</v>
      </c>
      <c r="N9" s="39">
        <v>5.35</v>
      </c>
      <c r="O9" s="39">
        <v>5.76</v>
      </c>
      <c r="P9" s="24">
        <f>AVERAGE(H9,F9,I9,D9,K9,L9,M9,N9,O9)</f>
        <v>6.0966666666666676</v>
      </c>
      <c r="Q9" s="60">
        <f>P9*1.25</f>
        <v>7.6208333333333345</v>
      </c>
      <c r="R9" s="116">
        <f>AVERAGE(H9,D9,K9,L9,M9,N9,O9)</f>
        <v>5.4885714285714275</v>
      </c>
      <c r="S9" s="119">
        <f>MEDIAN(H9,D9,K9,L9,M9,N9,O9)</f>
        <v>5.35</v>
      </c>
      <c r="T9" s="50">
        <f>_xlfn.STDEV.P(H9,D9,K9,L9,M9,N9,O9)</f>
        <v>1.2986303616990271</v>
      </c>
      <c r="U9" s="55">
        <f>(_xlfn.STDEV.P(H9,D9,K9,L9,M9,N9,O9)/R9)*100</f>
        <v>23.66062605906609</v>
      </c>
      <c r="V9" s="77" t="s">
        <v>26</v>
      </c>
      <c r="W9" s="81">
        <f>R9*C9</f>
        <v>329.31428571428563</v>
      </c>
    </row>
    <row r="10" spans="1:27" s="22" customFormat="1" ht="47.25" customHeight="1" x14ac:dyDescent="0.25">
      <c r="A10" s="68">
        <v>7</v>
      </c>
      <c r="B10" s="68" t="s">
        <v>32</v>
      </c>
      <c r="C10" s="69">
        <v>60</v>
      </c>
      <c r="D10" s="29">
        <v>7.21</v>
      </c>
      <c r="E10" s="25">
        <v>432.6</v>
      </c>
      <c r="F10" s="51">
        <v>8.39</v>
      </c>
      <c r="G10" s="25">
        <v>503.4</v>
      </c>
      <c r="H10" s="29">
        <v>4.7300000000000004</v>
      </c>
      <c r="I10" s="51">
        <v>7.57</v>
      </c>
      <c r="J10" s="37" t="s">
        <v>25</v>
      </c>
      <c r="K10" s="39">
        <v>6.23</v>
      </c>
      <c r="L10" s="39">
        <v>4.38</v>
      </c>
      <c r="M10" s="39">
        <v>3.02</v>
      </c>
      <c r="N10" s="39">
        <v>5.5</v>
      </c>
      <c r="O10" s="39">
        <v>6.96</v>
      </c>
      <c r="P10" s="24">
        <f>AVERAGE(H10,F10,I10,D10,K10,L10,M10,N10,O10)</f>
        <v>5.9988888888888896</v>
      </c>
      <c r="Q10" s="60">
        <f t="shared" si="0"/>
        <v>7.4986111111111118</v>
      </c>
      <c r="R10" s="118">
        <f>AVERAGE(H10,D10,K10,L10,M10,N10,O10)</f>
        <v>5.4328571428571433</v>
      </c>
      <c r="S10" s="115">
        <f>MEDIAN(H10,D10,K10,L10,M10,N10,O10)</f>
        <v>5.5</v>
      </c>
      <c r="T10" s="50">
        <f>_xlfn.STDEV.P(H10,D10,K10,L10,M10,N10,O10)</f>
        <v>1.3915429697766051</v>
      </c>
      <c r="U10" s="56">
        <f>(_xlfn.STDEV.P(H10,D10,K10,L10,M10,N10,O10)/R10)*100</f>
        <v>25.613465128677976</v>
      </c>
      <c r="V10" s="77" t="s">
        <v>14</v>
      </c>
      <c r="W10" s="81">
        <f>S10*C10</f>
        <v>330</v>
      </c>
    </row>
    <row r="11" spans="1:27" s="22" customFormat="1" ht="47.25" customHeight="1" x14ac:dyDescent="0.25">
      <c r="A11" s="70">
        <v>8</v>
      </c>
      <c r="B11" s="70" t="s">
        <v>33</v>
      </c>
      <c r="C11" s="71">
        <v>80</v>
      </c>
      <c r="D11" s="29">
        <v>16.37</v>
      </c>
      <c r="E11" s="25">
        <v>1309.5999999999999</v>
      </c>
      <c r="F11" s="29">
        <v>14.41</v>
      </c>
      <c r="G11" s="25">
        <v>1152.8</v>
      </c>
      <c r="H11" s="29">
        <v>13.85</v>
      </c>
      <c r="I11" s="29">
        <v>14.3</v>
      </c>
      <c r="J11" s="30">
        <v>14.41</v>
      </c>
      <c r="K11" s="40">
        <v>16.41</v>
      </c>
      <c r="L11" s="40">
        <v>8.81</v>
      </c>
      <c r="M11" s="40">
        <v>12.25</v>
      </c>
      <c r="N11" s="78" t="s">
        <v>25</v>
      </c>
      <c r="O11" s="40">
        <v>14.72</v>
      </c>
      <c r="P11" s="24">
        <f>AVERAGE(J11,H11,F11,I11,D11,K11,L11,M11,O11)</f>
        <v>13.947777777777778</v>
      </c>
      <c r="Q11" s="60">
        <f t="shared" si="0"/>
        <v>17.434722222222224</v>
      </c>
      <c r="R11" s="116">
        <f>AVERAGE(J11,H11,F11,I11,D11,K11,L11,M11,O11)</f>
        <v>13.947777777777778</v>
      </c>
      <c r="S11" s="119">
        <f>MEDIAN(J11,H11,F11,I11,D11,K11,L11,M11,O11)</f>
        <v>14.41</v>
      </c>
      <c r="T11" s="50">
        <f>_xlfn.STDEV.P(J11,H11,F11,I11,D11,K11,L11,M11,O11)</f>
        <v>2.1696429700031206</v>
      </c>
      <c r="U11" s="55">
        <f>(_xlfn.STDEV.P(J11,H11,F11,I11,D11,K11,L11,M11,O11)/R11)*100</f>
        <v>15.555474173526715</v>
      </c>
      <c r="V11" s="77" t="s">
        <v>26</v>
      </c>
      <c r="W11" s="81">
        <f>R11*C11</f>
        <v>1115.8222222222223</v>
      </c>
    </row>
    <row r="12" spans="1:27" s="22" customFormat="1" ht="47.25" customHeight="1" x14ac:dyDescent="0.25">
      <c r="A12" s="68">
        <v>9</v>
      </c>
      <c r="B12" s="68" t="s">
        <v>34</v>
      </c>
      <c r="C12" s="69">
        <v>60</v>
      </c>
      <c r="D12" s="29">
        <v>2.4</v>
      </c>
      <c r="E12" s="25">
        <v>144</v>
      </c>
      <c r="F12" s="29">
        <v>2.4300000000000002</v>
      </c>
      <c r="G12" s="25">
        <v>145.80000000000001</v>
      </c>
      <c r="H12" s="37" t="s">
        <v>25</v>
      </c>
      <c r="I12" s="37" t="s">
        <v>25</v>
      </c>
      <c r="J12" s="37" t="s">
        <v>25</v>
      </c>
      <c r="K12" s="37" t="s">
        <v>25</v>
      </c>
      <c r="L12" s="37" t="s">
        <v>25</v>
      </c>
      <c r="M12" s="39">
        <v>2.2599999999999998</v>
      </c>
      <c r="N12" s="39">
        <v>2.48</v>
      </c>
      <c r="O12" s="39">
        <v>2.56</v>
      </c>
      <c r="P12" s="24">
        <f>AVERAGE(F12,D12,M12,N12,O12)</f>
        <v>2.4260000000000002</v>
      </c>
      <c r="Q12" s="60">
        <f t="shared" si="0"/>
        <v>3.0325000000000002</v>
      </c>
      <c r="R12" s="116">
        <f>AVERAGE(F12,D12,M12,N12,O12)</f>
        <v>2.4260000000000002</v>
      </c>
      <c r="S12" s="119">
        <f>MEDIAN(F12,D12,M12,N12,O12)</f>
        <v>2.4300000000000002</v>
      </c>
      <c r="T12" s="50">
        <f>_xlfn.STDEV.P(F12,D12,M12,N12,O12)</f>
        <v>9.9116093546911019E-2</v>
      </c>
      <c r="U12" s="55">
        <f>(_xlfn.STDEV.P(F12,D12,M12,N12,O12)/R12)*100</f>
        <v>4.0855768156187553</v>
      </c>
      <c r="V12" s="120" t="s">
        <v>26</v>
      </c>
      <c r="W12" s="81">
        <f>R12*C12</f>
        <v>145.56</v>
      </c>
    </row>
    <row r="13" spans="1:27" s="22" customFormat="1" ht="47.25" customHeight="1" x14ac:dyDescent="0.25">
      <c r="A13" s="68">
        <v>10</v>
      </c>
      <c r="B13" s="68" t="s">
        <v>35</v>
      </c>
      <c r="C13" s="69">
        <v>80</v>
      </c>
      <c r="D13" s="51">
        <v>4.6500000000000004</v>
      </c>
      <c r="E13" s="25">
        <v>372</v>
      </c>
      <c r="F13" s="29">
        <v>3.48</v>
      </c>
      <c r="G13" s="25">
        <v>278.39999999999998</v>
      </c>
      <c r="H13" s="37" t="s">
        <v>25</v>
      </c>
      <c r="I13" s="51">
        <v>4.96</v>
      </c>
      <c r="J13" s="37" t="s">
        <v>25</v>
      </c>
      <c r="K13" s="39">
        <v>0.54</v>
      </c>
      <c r="L13" s="37" t="s">
        <v>25</v>
      </c>
      <c r="M13" s="39">
        <v>2.98</v>
      </c>
      <c r="N13" s="37" t="s">
        <v>25</v>
      </c>
      <c r="O13" s="39">
        <v>2.35</v>
      </c>
      <c r="P13" s="24">
        <f>AVERAGE(F13,I13,D13,K13,M13,O13)</f>
        <v>3.16</v>
      </c>
      <c r="Q13" s="60">
        <f t="shared" si="0"/>
        <v>3.95</v>
      </c>
      <c r="R13" s="118">
        <f>AVERAGE(F13,K13,M13,O13)</f>
        <v>2.3374999999999999</v>
      </c>
      <c r="S13" s="115">
        <f>MEDIAN(F13,K13,M13,O13)</f>
        <v>2.665</v>
      </c>
      <c r="T13" s="50">
        <f>_xlfn.STDEV.P(F13,K13,M13,O13)</f>
        <v>1.1123483042644515</v>
      </c>
      <c r="U13" s="56">
        <f>(_xlfn.STDEV.P(F13,K13,M13,O13)/R13)*100</f>
        <v>47.587093230564776</v>
      </c>
      <c r="V13" s="77" t="s">
        <v>14</v>
      </c>
      <c r="W13" s="81">
        <f>S13*C13</f>
        <v>213.2</v>
      </c>
    </row>
    <row r="14" spans="1:27" s="22" customFormat="1" ht="47.25" customHeight="1" x14ac:dyDescent="0.25">
      <c r="A14" s="70">
        <v>11</v>
      </c>
      <c r="B14" s="70" t="s">
        <v>36</v>
      </c>
      <c r="C14" s="71">
        <v>190</v>
      </c>
      <c r="D14" s="30">
        <v>2.8</v>
      </c>
      <c r="E14" s="25">
        <v>532</v>
      </c>
      <c r="F14" s="29">
        <v>1.58</v>
      </c>
      <c r="G14" s="25">
        <v>300.2</v>
      </c>
      <c r="H14" s="37" t="s">
        <v>25</v>
      </c>
      <c r="I14" s="37" t="s">
        <v>25</v>
      </c>
      <c r="J14" s="37" t="s">
        <v>25</v>
      </c>
      <c r="K14" s="37" t="s">
        <v>25</v>
      </c>
      <c r="L14" s="37" t="s">
        <v>25</v>
      </c>
      <c r="M14" s="52">
        <v>4.8</v>
      </c>
      <c r="N14" s="37" t="s">
        <v>25</v>
      </c>
      <c r="O14" s="78" t="s">
        <v>25</v>
      </c>
      <c r="P14" s="24">
        <f>AVERAGE(F14,D14,M14)</f>
        <v>3.06</v>
      </c>
      <c r="Q14" s="60">
        <f>P14*1.25</f>
        <v>3.8250000000000002</v>
      </c>
      <c r="R14" s="118">
        <f>AVERAGE(F14,D14)</f>
        <v>2.19</v>
      </c>
      <c r="S14" s="115">
        <f>MEDIAN(F14,D14)</f>
        <v>2.19</v>
      </c>
      <c r="T14" s="50">
        <f>_xlfn.STDEV.P(F14,D14)</f>
        <v>0.60999999999999976</v>
      </c>
      <c r="U14" s="56">
        <f>(_xlfn.STDEV.P(F14,D14)/R14)*100</f>
        <v>27.8538812785388</v>
      </c>
      <c r="V14" s="77" t="s">
        <v>14</v>
      </c>
      <c r="W14" s="81">
        <f>S14*C14</f>
        <v>416.09999999999997</v>
      </c>
    </row>
    <row r="15" spans="1:27" s="22" customFormat="1" ht="47.25" customHeight="1" x14ac:dyDescent="0.25">
      <c r="A15" s="68">
        <v>12</v>
      </c>
      <c r="B15" s="68" t="s">
        <v>37</v>
      </c>
      <c r="C15" s="69">
        <v>190</v>
      </c>
      <c r="D15" s="51">
        <v>0.14000000000000001</v>
      </c>
      <c r="E15" s="25">
        <v>26.6</v>
      </c>
      <c r="F15" s="29">
        <v>0.05</v>
      </c>
      <c r="G15" s="25">
        <v>9.5</v>
      </c>
      <c r="H15" s="37" t="s">
        <v>25</v>
      </c>
      <c r="I15" s="51">
        <v>0.13</v>
      </c>
      <c r="J15" s="51">
        <v>0.17</v>
      </c>
      <c r="K15" s="37" t="s">
        <v>25</v>
      </c>
      <c r="L15" s="37" t="s">
        <v>25</v>
      </c>
      <c r="M15" s="39">
        <v>0.04</v>
      </c>
      <c r="N15" s="37" t="s">
        <v>25</v>
      </c>
      <c r="O15" s="78" t="s">
        <v>25</v>
      </c>
      <c r="P15" s="24">
        <f>AVERAGE(J15,F15,I15,D15,M15)</f>
        <v>0.10600000000000001</v>
      </c>
      <c r="Q15" s="60">
        <f t="shared" si="0"/>
        <v>0.13250000000000001</v>
      </c>
      <c r="R15" s="116">
        <f>AVERAGE(F15,M15)</f>
        <v>4.4999999999999998E-2</v>
      </c>
      <c r="S15" s="119">
        <f>MEDIAN(F15,M15)</f>
        <v>4.4999999999999998E-2</v>
      </c>
      <c r="T15" s="50">
        <f>_xlfn.STDEV.P(F15,M15)</f>
        <v>5.000000000000001E-3</v>
      </c>
      <c r="U15" s="55">
        <f>(_xlfn.STDEV.P(F15,M15)/R15)*100</f>
        <v>11.111111111111112</v>
      </c>
      <c r="V15" s="77" t="s">
        <v>26</v>
      </c>
      <c r="W15" s="81">
        <f>R15*C15</f>
        <v>8.5499999999999989</v>
      </c>
    </row>
    <row r="16" spans="1:27" s="22" customFormat="1" ht="47.25" customHeight="1" x14ac:dyDescent="0.25">
      <c r="A16" s="68">
        <v>13</v>
      </c>
      <c r="B16" s="68" t="s">
        <v>38</v>
      </c>
      <c r="C16" s="69">
        <v>48</v>
      </c>
      <c r="D16" s="29">
        <v>58.83</v>
      </c>
      <c r="E16" s="25">
        <v>2823.84</v>
      </c>
      <c r="F16" s="51">
        <v>125.28</v>
      </c>
      <c r="G16" s="25">
        <v>6013.44</v>
      </c>
      <c r="H16" s="37" t="s">
        <v>25</v>
      </c>
      <c r="I16" s="29">
        <v>90</v>
      </c>
      <c r="J16" s="37" t="s">
        <v>25</v>
      </c>
      <c r="K16" s="39">
        <v>74.13</v>
      </c>
      <c r="L16" s="37" t="s">
        <v>25</v>
      </c>
      <c r="M16" s="39">
        <v>70.25</v>
      </c>
      <c r="N16" s="39">
        <v>60.06</v>
      </c>
      <c r="O16" s="39">
        <v>54.78</v>
      </c>
      <c r="P16" s="24">
        <f>AVERAGE(F16,I16,D16,K16,M16,N16,O16)</f>
        <v>76.190000000000012</v>
      </c>
      <c r="Q16" s="60">
        <f t="shared" si="0"/>
        <v>95.237500000000011</v>
      </c>
      <c r="R16" s="116">
        <f>AVERAGE(I16,D16,K16,M16,N16,O16)</f>
        <v>68.008333333333326</v>
      </c>
      <c r="S16" s="119">
        <f>MEDIAN(I16,D16,K16,M16,N16,O16)</f>
        <v>65.155000000000001</v>
      </c>
      <c r="T16" s="50">
        <f>_xlfn.STDEV.P(I16,D16,K16,M16,N16,O16)</f>
        <v>11.89215345885219</v>
      </c>
      <c r="U16" s="55">
        <f>(_xlfn.STDEV.P(I16,D16,K16,M16,N16,O16)/R16)*100</f>
        <v>17.486318037768203</v>
      </c>
      <c r="V16" s="77" t="s">
        <v>26</v>
      </c>
      <c r="W16" s="81">
        <f>R16*C16</f>
        <v>3264.3999999999996</v>
      </c>
    </row>
    <row r="17" spans="1:23" s="22" customFormat="1" ht="47.25" customHeight="1" x14ac:dyDescent="0.25">
      <c r="A17" s="68">
        <v>14</v>
      </c>
      <c r="B17" s="68" t="s">
        <v>39</v>
      </c>
      <c r="C17" s="69">
        <v>48</v>
      </c>
      <c r="D17" s="51">
        <v>15.63</v>
      </c>
      <c r="E17" s="25">
        <v>750.24</v>
      </c>
      <c r="F17" s="29">
        <v>13.08</v>
      </c>
      <c r="G17" s="25">
        <v>627.84</v>
      </c>
      <c r="H17" s="29">
        <v>6.36</v>
      </c>
      <c r="I17" s="29">
        <v>14.15</v>
      </c>
      <c r="J17" s="29">
        <v>14.44</v>
      </c>
      <c r="K17" s="40">
        <v>10.47</v>
      </c>
      <c r="L17" s="40">
        <v>9.24</v>
      </c>
      <c r="M17" s="52">
        <v>15.4</v>
      </c>
      <c r="N17" s="39">
        <v>10.68</v>
      </c>
      <c r="O17" s="39">
        <v>13.13</v>
      </c>
      <c r="P17" s="24">
        <f>AVERAGE(J17,H17,F17,I17,D17,K17,L17,M17,N17,O17)</f>
        <v>12.258000000000001</v>
      </c>
      <c r="Q17" s="60">
        <f t="shared" si="0"/>
        <v>15.322500000000002</v>
      </c>
      <c r="R17" s="116">
        <f>AVERAGE(J17,H17,F17,I17,K17,L17,N17,O17)</f>
        <v>11.443749999999998</v>
      </c>
      <c r="S17" s="119">
        <f>MEDIAN(J17,H17,F17,I17,K17,L17,N17,O17)</f>
        <v>11.879999999999999</v>
      </c>
      <c r="T17" s="50">
        <f>_xlfn.STDEV.P(J17,H17,F17,I17,K17,L17,N17,O17)</f>
        <v>2.5993890508156063</v>
      </c>
      <c r="U17" s="55">
        <f>(_xlfn.STDEV.P(J17,H17,F17,I17,K17,L17,N17,O17)/R17)*100</f>
        <v>22.71448651723086</v>
      </c>
      <c r="V17" s="77" t="s">
        <v>26</v>
      </c>
      <c r="W17" s="81">
        <f>R17*C17</f>
        <v>549.29999999999995</v>
      </c>
    </row>
    <row r="18" spans="1:23" s="22" customFormat="1" ht="47.25" customHeight="1" x14ac:dyDescent="0.25">
      <c r="A18" s="68">
        <v>15</v>
      </c>
      <c r="B18" s="68" t="s">
        <v>40</v>
      </c>
      <c r="C18" s="69">
        <v>24</v>
      </c>
      <c r="D18" s="51">
        <v>65.709999999999994</v>
      </c>
      <c r="E18" s="25">
        <v>1577.04</v>
      </c>
      <c r="F18" s="51">
        <v>64.989999999999995</v>
      </c>
      <c r="G18" s="25">
        <v>1559.76</v>
      </c>
      <c r="H18" s="29">
        <v>18.36</v>
      </c>
      <c r="I18" s="51">
        <v>60.76</v>
      </c>
      <c r="J18" s="37" t="s">
        <v>25</v>
      </c>
      <c r="K18" s="39">
        <v>43.51</v>
      </c>
      <c r="L18" s="37" t="s">
        <v>25</v>
      </c>
      <c r="M18" s="39">
        <v>41.16</v>
      </c>
      <c r="N18" s="39">
        <v>41.31</v>
      </c>
      <c r="O18" s="39">
        <v>40.409999999999997</v>
      </c>
      <c r="P18" s="24">
        <f>AVERAGE(H18,F18,I18,D18,K18,M18,N18,O18)</f>
        <v>47.026250000000005</v>
      </c>
      <c r="Q18" s="60">
        <f t="shared" si="0"/>
        <v>58.782812500000006</v>
      </c>
      <c r="R18" s="118">
        <f>AVERAGE(H18,K18,M18,N18,O18)</f>
        <v>36.950000000000003</v>
      </c>
      <c r="S18" s="115">
        <f>MEDIAN(H18,K18,M18,N18,O18)</f>
        <v>41.16</v>
      </c>
      <c r="T18" s="50">
        <f>_xlfn.STDEV.P(H18,K18,M18,N18,O18)</f>
        <v>9.3522938362735424</v>
      </c>
      <c r="U18" s="56">
        <f>(_xlfn.STDEV.P(H18,K18,M18,N18,O18)/R18)*100</f>
        <v>25.310673440523797</v>
      </c>
      <c r="V18" s="77" t="s">
        <v>14</v>
      </c>
      <c r="W18" s="81">
        <f>S18*C18</f>
        <v>987.83999999999992</v>
      </c>
    </row>
    <row r="19" spans="1:23" s="22" customFormat="1" ht="47.25" customHeight="1" x14ac:dyDescent="0.25">
      <c r="A19" s="68">
        <v>16</v>
      </c>
      <c r="B19" s="68" t="s">
        <v>41</v>
      </c>
      <c r="C19" s="69">
        <v>200</v>
      </c>
      <c r="D19" s="29">
        <v>13.33</v>
      </c>
      <c r="E19" s="25">
        <v>2666</v>
      </c>
      <c r="F19" s="51">
        <v>14.63</v>
      </c>
      <c r="G19" s="25">
        <v>2926</v>
      </c>
      <c r="H19" s="29">
        <v>7.27</v>
      </c>
      <c r="I19" s="29">
        <v>13.16</v>
      </c>
      <c r="J19" s="61" t="s">
        <v>25</v>
      </c>
      <c r="K19" s="40">
        <v>9.8699999999999992</v>
      </c>
      <c r="L19" s="40">
        <v>9.9</v>
      </c>
      <c r="M19" s="39">
        <v>5.72</v>
      </c>
      <c r="N19" s="39">
        <v>11.84</v>
      </c>
      <c r="O19" s="40">
        <v>13.69</v>
      </c>
      <c r="P19" s="24">
        <f>AVERAGE(H19,F19,I19,D19,K19,L19,M19,N19,O19)</f>
        <v>11.045555555555556</v>
      </c>
      <c r="Q19" s="60">
        <f t="shared" si="0"/>
        <v>13.806944444444444</v>
      </c>
      <c r="R19" s="118">
        <f>AVERAGE(H19,I19,D19,K19,L19,M19,N19,O19)</f>
        <v>10.597499999999998</v>
      </c>
      <c r="S19" s="115">
        <f>MEDIAN(H19,I19,D19,K19,L19,M19,N19,O19)</f>
        <v>10.870000000000001</v>
      </c>
      <c r="T19" s="50">
        <f>_xlfn.STDEV.P(H19,I19,D19,K19,L19,M19,N19,O19)</f>
        <v>2.7617555558014244</v>
      </c>
      <c r="U19" s="56">
        <f>(_xlfn.STDEV.P(H19,I19,D19,K19,L19,M19,N19,O19)/R19)*100</f>
        <v>26.060444027378388</v>
      </c>
      <c r="V19" s="77" t="s">
        <v>14</v>
      </c>
      <c r="W19" s="81">
        <f>S19*C19</f>
        <v>2174</v>
      </c>
    </row>
    <row r="20" spans="1:23" s="22" customFormat="1" ht="47.25" customHeight="1" x14ac:dyDescent="0.25">
      <c r="A20" s="68">
        <v>17</v>
      </c>
      <c r="B20" s="68" t="s">
        <v>42</v>
      </c>
      <c r="C20" s="69">
        <v>400</v>
      </c>
      <c r="D20" s="29">
        <v>1.1599999999999999</v>
      </c>
      <c r="E20" s="25">
        <v>464</v>
      </c>
      <c r="F20" s="29">
        <v>1.38</v>
      </c>
      <c r="G20" s="25">
        <v>552</v>
      </c>
      <c r="H20" s="37" t="s">
        <v>25</v>
      </c>
      <c r="I20" s="30">
        <v>1.3</v>
      </c>
      <c r="J20" s="37" t="s">
        <v>25</v>
      </c>
      <c r="K20" s="37" t="s">
        <v>25</v>
      </c>
      <c r="L20" s="37" t="s">
        <v>25</v>
      </c>
      <c r="M20" s="39">
        <v>0.96</v>
      </c>
      <c r="N20" s="37" t="s">
        <v>25</v>
      </c>
      <c r="O20" s="78" t="s">
        <v>25</v>
      </c>
      <c r="P20" s="24">
        <f>AVERAGE(F20,I20,D20,M20)</f>
        <v>1.2</v>
      </c>
      <c r="Q20" s="60">
        <f t="shared" si="0"/>
        <v>1.5</v>
      </c>
      <c r="R20" s="116">
        <f>AVERAGE(F20,I20,D20,M20)</f>
        <v>1.2</v>
      </c>
      <c r="S20" s="119">
        <f>MEDIAN(F20,I20,D20,M20)</f>
        <v>1.23</v>
      </c>
      <c r="T20" s="50">
        <f>_xlfn.STDEV.P(F20,I20,D20,M20)</f>
        <v>0.15937377450509185</v>
      </c>
      <c r="U20" s="55">
        <f>(_xlfn.STDEV.P(F20,I20,D20,M20)/R20)*100</f>
        <v>13.28114787542432</v>
      </c>
      <c r="V20" s="77" t="s">
        <v>26</v>
      </c>
      <c r="W20" s="81">
        <f>R20*C20</f>
        <v>480</v>
      </c>
    </row>
    <row r="21" spans="1:23" s="22" customFormat="1" ht="47.25" customHeight="1" x14ac:dyDescent="0.25">
      <c r="A21" s="68">
        <v>18</v>
      </c>
      <c r="B21" s="68" t="s">
        <v>43</v>
      </c>
      <c r="C21" s="69">
        <v>200</v>
      </c>
      <c r="D21" s="29">
        <v>7.5</v>
      </c>
      <c r="E21" s="25">
        <v>1500</v>
      </c>
      <c r="F21" s="51">
        <v>23.92</v>
      </c>
      <c r="G21" s="25">
        <v>4784</v>
      </c>
      <c r="H21" s="30">
        <v>8.4</v>
      </c>
      <c r="I21" s="30">
        <v>12.48</v>
      </c>
      <c r="J21" s="37" t="s">
        <v>25</v>
      </c>
      <c r="K21" s="37" t="s">
        <v>25</v>
      </c>
      <c r="L21" s="39">
        <v>4.1100000000000003</v>
      </c>
      <c r="M21" s="39">
        <v>12.48</v>
      </c>
      <c r="N21" s="37" t="s">
        <v>25</v>
      </c>
      <c r="O21" s="39">
        <v>12.05</v>
      </c>
      <c r="P21" s="24">
        <f>AVERAGE(H21,F21,I21,D21,L21,M21,O21)</f>
        <v>11.562857142857142</v>
      </c>
      <c r="Q21" s="60">
        <f>P21*1.25</f>
        <v>14.453571428571427</v>
      </c>
      <c r="R21" s="118">
        <f>AVERAGE(H21,I21,D21,L21,M21,O21)</f>
        <v>9.5033333333333321</v>
      </c>
      <c r="S21" s="115">
        <f>MEDIAN(H21,I21,D21,L21,M21,O21)</f>
        <v>10.225000000000001</v>
      </c>
      <c r="T21" s="50">
        <f>_xlfn.STDEV.P(H21,I21,D21,L21,M21,O21)</f>
        <v>3.1231750226687982</v>
      </c>
      <c r="U21" s="56">
        <f>(_xlfn.STDEV.P(H21,I21,D21,L21,M21,O21)/R21)*100</f>
        <v>32.863995327977534</v>
      </c>
      <c r="V21" s="77" t="s">
        <v>14</v>
      </c>
      <c r="W21" s="81">
        <f>S21*C21</f>
        <v>2045.0000000000002</v>
      </c>
    </row>
    <row r="22" spans="1:23" s="22" customFormat="1" ht="47.25" customHeight="1" x14ac:dyDescent="0.25">
      <c r="A22" s="68">
        <v>19</v>
      </c>
      <c r="B22" s="68" t="s">
        <v>44</v>
      </c>
      <c r="C22" s="69">
        <v>190</v>
      </c>
      <c r="D22" s="51">
        <v>52.26</v>
      </c>
      <c r="E22" s="25">
        <v>9929.4</v>
      </c>
      <c r="F22" s="29">
        <v>37.25</v>
      </c>
      <c r="G22" s="25">
        <v>7077.5</v>
      </c>
      <c r="H22" s="29">
        <v>36.409999999999997</v>
      </c>
      <c r="I22" s="29">
        <v>36.93</v>
      </c>
      <c r="J22" s="37" t="s">
        <v>25</v>
      </c>
      <c r="K22" s="39">
        <v>32.74</v>
      </c>
      <c r="L22" s="39">
        <v>28.48</v>
      </c>
      <c r="M22" s="39">
        <v>37.1</v>
      </c>
      <c r="N22" s="39">
        <v>43.48</v>
      </c>
      <c r="O22" s="39">
        <v>42.18</v>
      </c>
      <c r="P22" s="24">
        <f>AVERAGE(H22,F22,I22,D22,K22,L22,M22,N22,O22)</f>
        <v>38.536666666666669</v>
      </c>
      <c r="Q22" s="60">
        <f t="shared" si="0"/>
        <v>48.170833333333334</v>
      </c>
      <c r="R22" s="116">
        <f>AVERAGE(H22,F22,I22,K22,L22,M22,N22,O22)</f>
        <v>36.821249999999999</v>
      </c>
      <c r="S22" s="119">
        <f>MEDIAN(H22,F22,I22,K22,L22,M22,N22,O22)</f>
        <v>37.015000000000001</v>
      </c>
      <c r="T22" s="50">
        <f>_xlfn.STDEV.P(H22,F22,I22,K22,L22,M22,N22,O22)</f>
        <v>4.468370613266111</v>
      </c>
      <c r="U22" s="55">
        <f>(_xlfn.STDEV.P(H22,F22,I22,K22,L22,M22,N22,O22)/R22)*100</f>
        <v>12.135303970577075</v>
      </c>
      <c r="V22" s="77" t="s">
        <v>26</v>
      </c>
      <c r="W22" s="81">
        <f t="shared" ref="W22:W30" si="1">R22*C22</f>
        <v>6996.0374999999995</v>
      </c>
    </row>
    <row r="23" spans="1:23" s="22" customFormat="1" ht="47.25" customHeight="1" x14ac:dyDescent="0.25">
      <c r="A23" s="68">
        <v>20</v>
      </c>
      <c r="B23" s="68" t="s">
        <v>45</v>
      </c>
      <c r="C23" s="69">
        <v>64</v>
      </c>
      <c r="D23" s="51">
        <v>52.26</v>
      </c>
      <c r="E23" s="25">
        <v>3344.64</v>
      </c>
      <c r="F23" s="29">
        <v>25.8</v>
      </c>
      <c r="G23" s="25">
        <v>1651.2</v>
      </c>
      <c r="H23" s="29">
        <v>27.89</v>
      </c>
      <c r="I23" s="37" t="s">
        <v>25</v>
      </c>
      <c r="J23" s="37" t="s">
        <v>25</v>
      </c>
      <c r="K23" s="39">
        <v>27.68</v>
      </c>
      <c r="L23" s="37" t="s">
        <v>25</v>
      </c>
      <c r="M23" s="39">
        <v>37.090000000000003</v>
      </c>
      <c r="N23" s="39">
        <v>37.28</v>
      </c>
      <c r="O23" s="78" t="s">
        <v>25</v>
      </c>
      <c r="P23" s="24">
        <f>AVERAGE(H23,F23,D23,K23,M23,N23)</f>
        <v>34.666666666666664</v>
      </c>
      <c r="Q23" s="60">
        <f t="shared" si="0"/>
        <v>43.333333333333329</v>
      </c>
      <c r="R23" s="116">
        <f>AVERAGE(H23,F23,K23,M23,N23)</f>
        <v>31.148000000000003</v>
      </c>
      <c r="S23" s="119">
        <f>MEDIAN(H23,F23,K23,M23,N23)</f>
        <v>27.89</v>
      </c>
      <c r="T23" s="50">
        <f>_xlfn.STDEV.P(H23,F23,K23,M23,N23)</f>
        <v>4.9830007023880647</v>
      </c>
      <c r="U23" s="55">
        <f>(_xlfn.STDEV.P(H23,F23,K23,M23,N23)/R23)*100</f>
        <v>15.997819129279774</v>
      </c>
      <c r="V23" s="77" t="s">
        <v>26</v>
      </c>
      <c r="W23" s="81">
        <f t="shared" si="1"/>
        <v>1993.4720000000002</v>
      </c>
    </row>
    <row r="24" spans="1:23" s="22" customFormat="1" ht="47.25" customHeight="1" x14ac:dyDescent="0.25">
      <c r="A24" s="68">
        <v>21</v>
      </c>
      <c r="B24" s="72" t="s">
        <v>46</v>
      </c>
      <c r="C24" s="69">
        <v>64</v>
      </c>
      <c r="D24" s="29">
        <v>14.91</v>
      </c>
      <c r="E24" s="25">
        <v>954.24</v>
      </c>
      <c r="F24" s="51">
        <v>18.12</v>
      </c>
      <c r="G24" s="25">
        <v>1159.68</v>
      </c>
      <c r="H24" s="29">
        <v>11.5</v>
      </c>
      <c r="I24" s="29">
        <v>10.31</v>
      </c>
      <c r="J24" s="29">
        <v>10.24</v>
      </c>
      <c r="K24" s="37" t="s">
        <v>25</v>
      </c>
      <c r="L24" s="39">
        <v>10.77</v>
      </c>
      <c r="M24" s="40">
        <v>14.55</v>
      </c>
      <c r="N24" s="39">
        <v>12.88</v>
      </c>
      <c r="O24" s="79">
        <v>18.149999999999999</v>
      </c>
      <c r="P24" s="24">
        <f>AVERAGE(J24,H24,F24,I24,D24,L24,M24,N24,O24)</f>
        <v>13.492222222222219</v>
      </c>
      <c r="Q24" s="60">
        <f t="shared" si="0"/>
        <v>16.865277777777774</v>
      </c>
      <c r="R24" s="116">
        <f>AVERAGE(J24,H24,I24,D24,L24,M24,N24)</f>
        <v>12.165714285714285</v>
      </c>
      <c r="S24" s="119">
        <f>MEDIAN(J24,H24,I24,D24,L24,M24,N24)</f>
        <v>11.5</v>
      </c>
      <c r="T24" s="50">
        <f>_xlfn.STDEV.P(J24,H24,I24,D24,L24,M24,N24)</f>
        <v>1.8232377569498055</v>
      </c>
      <c r="U24" s="55">
        <f>(_xlfn.STDEV.P(J24,H24,I24,D24,L24,M24,N24)/R24)*100</f>
        <v>14.986688936881915</v>
      </c>
      <c r="V24" s="77" t="s">
        <v>26</v>
      </c>
      <c r="W24" s="81">
        <f t="shared" si="1"/>
        <v>778.60571428571427</v>
      </c>
    </row>
    <row r="25" spans="1:23" s="22" customFormat="1" ht="47.25" customHeight="1" x14ac:dyDescent="0.25">
      <c r="A25" s="70">
        <v>22</v>
      </c>
      <c r="B25" s="70" t="s">
        <v>47</v>
      </c>
      <c r="C25" s="71">
        <v>64</v>
      </c>
      <c r="D25" s="51">
        <v>14.91</v>
      </c>
      <c r="E25" s="25">
        <v>954.24</v>
      </c>
      <c r="F25" s="29">
        <v>6.8</v>
      </c>
      <c r="G25" s="25">
        <v>435.2</v>
      </c>
      <c r="H25" s="37" t="s">
        <v>25</v>
      </c>
      <c r="I25" s="37" t="s">
        <v>25</v>
      </c>
      <c r="J25" s="37" t="s">
        <v>25</v>
      </c>
      <c r="K25" s="37" t="s">
        <v>25</v>
      </c>
      <c r="L25" s="37" t="s">
        <v>25</v>
      </c>
      <c r="M25" s="49">
        <v>6.8</v>
      </c>
      <c r="N25" s="62" t="s">
        <v>25</v>
      </c>
      <c r="O25" s="42">
        <v>5.16</v>
      </c>
      <c r="P25" s="24">
        <f>AVERAGE(F25,D25,M25,O25)</f>
        <v>8.4175000000000004</v>
      </c>
      <c r="Q25" s="60">
        <f>P25*1.25</f>
        <v>10.521875000000001</v>
      </c>
      <c r="R25" s="116">
        <f>AVERAGE(F25,M25,O25)</f>
        <v>6.253333333333333</v>
      </c>
      <c r="S25" s="119">
        <f>MEDIAN(F25,M25,O25)</f>
        <v>6.8</v>
      </c>
      <c r="T25" s="50">
        <f>_xlfn.STDEV.P(F25,M25,O25)</f>
        <v>0.77310341409729788</v>
      </c>
      <c r="U25" s="55">
        <f>(_xlfn.STDEV.P(F25,M25,O25)/R25)*100</f>
        <v>12.363060993027153</v>
      </c>
      <c r="V25" s="77" t="s">
        <v>26</v>
      </c>
      <c r="W25" s="81">
        <f t="shared" si="1"/>
        <v>400.21333333333331</v>
      </c>
    </row>
    <row r="26" spans="1:23" s="22" customFormat="1" ht="47.25" customHeight="1" x14ac:dyDescent="0.25">
      <c r="A26" s="68">
        <v>23</v>
      </c>
      <c r="B26" s="68" t="s">
        <v>48</v>
      </c>
      <c r="C26" s="69">
        <v>44</v>
      </c>
      <c r="D26" s="29">
        <v>77.78</v>
      </c>
      <c r="E26" s="25">
        <v>3422.32</v>
      </c>
      <c r="F26" s="51">
        <v>81.12</v>
      </c>
      <c r="G26" s="25">
        <v>3569.28</v>
      </c>
      <c r="H26" s="29">
        <v>58.8</v>
      </c>
      <c r="I26" s="29">
        <v>68.739999999999995</v>
      </c>
      <c r="J26" s="29">
        <v>46.49</v>
      </c>
      <c r="K26" s="42">
        <v>39.78</v>
      </c>
      <c r="L26" s="42">
        <v>45.06</v>
      </c>
      <c r="M26" s="47">
        <v>54.27</v>
      </c>
      <c r="N26" s="63">
        <v>79.349999999999994</v>
      </c>
      <c r="O26" s="42">
        <v>77.88</v>
      </c>
      <c r="P26" s="24">
        <f>AVERAGE(J26,H26,F26,I26,D26,K26,L26,M26,N26,O26)</f>
        <v>62.926999999999985</v>
      </c>
      <c r="Q26" s="60">
        <f>P26*1.25</f>
        <v>78.658749999999984</v>
      </c>
      <c r="R26" s="116">
        <f>AVERAGE(J26,H26,I26,D26,K26,L26,M26,O26)</f>
        <v>58.599999999999994</v>
      </c>
      <c r="S26" s="119">
        <f>MEDIAN(J26,H26,I26,D26,K26,L26,M26,O26)</f>
        <v>56.534999999999997</v>
      </c>
      <c r="T26" s="50">
        <f>_xlfn.STDEV.P(J26,H26,I26,D26,K26,L26,M26,O26)</f>
        <v>13.898630328201429</v>
      </c>
      <c r="U26" s="55">
        <f>(_xlfn.STDEV.P(J26,H26,I26,D26,K26,L26,M26,O26)/R26)*100</f>
        <v>23.717799194882989</v>
      </c>
      <c r="V26" s="77" t="s">
        <v>26</v>
      </c>
      <c r="W26" s="81">
        <f t="shared" si="1"/>
        <v>2578.3999999999996</v>
      </c>
    </row>
    <row r="27" spans="1:23" s="22" customFormat="1" ht="47.25" customHeight="1" x14ac:dyDescent="0.25">
      <c r="A27" s="68">
        <v>24</v>
      </c>
      <c r="B27" s="68" t="s">
        <v>49</v>
      </c>
      <c r="C27" s="69">
        <v>60</v>
      </c>
      <c r="D27" s="29">
        <v>77.78</v>
      </c>
      <c r="E27" s="25">
        <v>4666.8</v>
      </c>
      <c r="F27" s="51">
        <v>84.82</v>
      </c>
      <c r="G27" s="25">
        <v>5089.2</v>
      </c>
      <c r="H27" s="29">
        <v>58.8</v>
      </c>
      <c r="I27" s="29">
        <v>66.5</v>
      </c>
      <c r="J27" s="29">
        <v>46.49</v>
      </c>
      <c r="K27" s="42">
        <v>39.78</v>
      </c>
      <c r="L27" s="42">
        <v>45.06</v>
      </c>
      <c r="M27" s="47">
        <v>70.680000000000007</v>
      </c>
      <c r="N27" s="42">
        <v>80.42</v>
      </c>
      <c r="O27" s="42">
        <v>77.88</v>
      </c>
      <c r="P27" s="24">
        <f>AVERAGE(J27,H27,F27,I27,D27,K27,L27,M27,N27,O27)</f>
        <v>64.820999999999998</v>
      </c>
      <c r="Q27" s="60">
        <f t="shared" si="0"/>
        <v>81.026250000000005</v>
      </c>
      <c r="R27" s="116">
        <f>AVERAGE(J27,H27,I27,D27,K27,L27,M27,N27,O27)</f>
        <v>62.598888888888901</v>
      </c>
      <c r="S27" s="119">
        <f>MEDIAN(J27,H27,I27,D27,K27,L27,M27,N27,O27)</f>
        <v>66.5</v>
      </c>
      <c r="T27" s="50">
        <f>_xlfn.STDEV.P(J27,H27,I27,D27,K27,L27,M27,N27,O27)</f>
        <v>14.773608935789941</v>
      </c>
      <c r="U27" s="55">
        <f>(_xlfn.STDEV.P(J27,H27,I27,D27,K27,L27,M27,N27,O27)/R27)*100</f>
        <v>23.600433167452287</v>
      </c>
      <c r="V27" s="77" t="s">
        <v>26</v>
      </c>
      <c r="W27" s="81">
        <f t="shared" si="1"/>
        <v>3755.9333333333338</v>
      </c>
    </row>
    <row r="28" spans="1:23" s="22" customFormat="1" ht="47.25" customHeight="1" x14ac:dyDescent="0.25">
      <c r="A28" s="68">
        <v>25</v>
      </c>
      <c r="B28" s="68" t="s">
        <v>50</v>
      </c>
      <c r="C28" s="69">
        <v>44</v>
      </c>
      <c r="D28" s="29">
        <v>77.78</v>
      </c>
      <c r="E28" s="25">
        <v>3422.32</v>
      </c>
      <c r="F28" s="51">
        <v>92.1</v>
      </c>
      <c r="G28" s="25">
        <v>4052.4</v>
      </c>
      <c r="H28" s="29">
        <v>58.8</v>
      </c>
      <c r="I28" s="29">
        <v>67.790000000000006</v>
      </c>
      <c r="J28" s="29">
        <v>46.49</v>
      </c>
      <c r="K28" s="42">
        <v>39.78</v>
      </c>
      <c r="L28" s="42">
        <v>45.06</v>
      </c>
      <c r="M28" s="47">
        <v>76.849999999999994</v>
      </c>
      <c r="N28" s="42">
        <v>82.58</v>
      </c>
      <c r="O28" s="42">
        <v>77.88</v>
      </c>
      <c r="P28" s="24">
        <f>AVERAGE(J28,H28,F28,I28,D28,K28,L28,M28,N28,O28)</f>
        <v>66.510999999999996</v>
      </c>
      <c r="Q28" s="60">
        <f t="shared" si="0"/>
        <v>83.138749999999987</v>
      </c>
      <c r="R28" s="116">
        <f>AVERAGE(J28,H28,I28,D28,K28,L28,M28,N28,O28)</f>
        <v>63.667777777777779</v>
      </c>
      <c r="S28" s="119">
        <f>MEDIAN(J28,H28,I28,D28,K28,L28,M28,N28,O28)</f>
        <v>67.790000000000006</v>
      </c>
      <c r="T28" s="50">
        <f>_xlfn.STDEV.P(J28,H28,I28,D28,K28,L28,M28,N28,O28)</f>
        <v>15.582128493728401</v>
      </c>
      <c r="U28" s="55">
        <f>(_xlfn.STDEV.P(J28,H28,I28,D28,K28,L28,M28,N28,O28)/R28)*100</f>
        <v>24.474120249830825</v>
      </c>
      <c r="V28" s="77" t="s">
        <v>26</v>
      </c>
      <c r="W28" s="81">
        <f t="shared" si="1"/>
        <v>2801.3822222222225</v>
      </c>
    </row>
    <row r="29" spans="1:23" s="22" customFormat="1" ht="47.25" customHeight="1" x14ac:dyDescent="0.25">
      <c r="A29" s="68">
        <v>26</v>
      </c>
      <c r="B29" s="68" t="s">
        <v>51</v>
      </c>
      <c r="C29" s="69">
        <v>44</v>
      </c>
      <c r="D29" s="30">
        <v>77.78</v>
      </c>
      <c r="E29" s="25">
        <v>3422.32</v>
      </c>
      <c r="F29" s="29">
        <v>73.36</v>
      </c>
      <c r="G29" s="25">
        <v>3227.84</v>
      </c>
      <c r="H29" s="29">
        <v>58.8</v>
      </c>
      <c r="I29" s="29">
        <v>66.61</v>
      </c>
      <c r="J29" s="29">
        <v>46.49</v>
      </c>
      <c r="K29" s="42">
        <v>39.78</v>
      </c>
      <c r="L29" s="45">
        <v>45.06</v>
      </c>
      <c r="M29" s="48">
        <v>71.22</v>
      </c>
      <c r="N29" s="63">
        <v>81.510000000000005</v>
      </c>
      <c r="O29" s="44">
        <v>77.88</v>
      </c>
      <c r="P29" s="24">
        <f>AVERAGE(J29,H29,F29,I29,D29,K29,L29,M29,N29,O29)</f>
        <v>63.84899999999999</v>
      </c>
      <c r="Q29" s="60">
        <f t="shared" si="0"/>
        <v>79.811249999999987</v>
      </c>
      <c r="R29" s="116">
        <f>AVERAGE(J29,H29,F29,I29,D29,K29,L29,M29,O29)</f>
        <v>61.886666666666656</v>
      </c>
      <c r="S29" s="119">
        <f>MEDIAN(J29,H29,F29,I29,D29,K29,L29,M29,O29)</f>
        <v>66.61</v>
      </c>
      <c r="T29" s="50">
        <f>_xlfn.STDEV.P(J29,H29,F29,I29,D29,K29,L29,M29,O29)</f>
        <v>14.015346350816118</v>
      </c>
      <c r="U29" s="55">
        <f>(_xlfn.STDEV.P(J29,H29,F29,I29,D29,K29,L29,M29,O29)/R29)*100</f>
        <v>22.646794706694152</v>
      </c>
      <c r="V29" s="77" t="s">
        <v>26</v>
      </c>
      <c r="W29" s="81">
        <f t="shared" si="1"/>
        <v>2723.0133333333329</v>
      </c>
    </row>
    <row r="30" spans="1:23" s="22" customFormat="1" ht="47.25" customHeight="1" thickBot="1" x14ac:dyDescent="0.3">
      <c r="A30" s="73">
        <v>27</v>
      </c>
      <c r="B30" s="73" t="s">
        <v>52</v>
      </c>
      <c r="C30" s="74">
        <v>48</v>
      </c>
      <c r="D30" s="33">
        <v>86.29</v>
      </c>
      <c r="E30" s="1">
        <v>4141.92</v>
      </c>
      <c r="F30" s="53">
        <v>309.60000000000002</v>
      </c>
      <c r="G30" s="1">
        <v>14860.8</v>
      </c>
      <c r="H30" s="33">
        <v>43.6</v>
      </c>
      <c r="I30" s="34">
        <v>64.72</v>
      </c>
      <c r="J30" s="37" t="s">
        <v>25</v>
      </c>
      <c r="K30" s="41">
        <v>72.099999999999994</v>
      </c>
      <c r="L30" s="46">
        <v>54.85</v>
      </c>
      <c r="M30" s="83">
        <v>258.33</v>
      </c>
      <c r="N30" s="46">
        <v>64.900000000000006</v>
      </c>
      <c r="O30" s="83">
        <v>189.58</v>
      </c>
      <c r="P30" s="94">
        <f>AVERAGE(H30,I30,D30,K30,L30,N30,F30,M30,O30)</f>
        <v>127.10777777777778</v>
      </c>
      <c r="Q30" s="95">
        <f t="shared" si="0"/>
        <v>158.88472222222222</v>
      </c>
      <c r="R30" s="122">
        <f>AVERAGE(H30,I30,D30,K30,L30,N30)</f>
        <v>64.410000000000011</v>
      </c>
      <c r="S30" s="121">
        <f>MEDIAN(H30,I30,D30,K30,L30,N30)</f>
        <v>64.81</v>
      </c>
      <c r="T30" s="96">
        <f>_xlfn.STDEV.P(H30,I30,D30,K30,L30,N30)</f>
        <v>13.308245564310855</v>
      </c>
      <c r="U30" s="97">
        <f>(_xlfn.STDEV.P(H30,I30,D30,K30,L30,N30)/R30)*100</f>
        <v>20.661769235073518</v>
      </c>
      <c r="V30" s="98" t="s">
        <v>26</v>
      </c>
      <c r="W30" s="82">
        <f t="shared" si="1"/>
        <v>3091.6800000000003</v>
      </c>
    </row>
    <row r="31" spans="1:23" s="84" customFormat="1" ht="45.75" customHeight="1" thickBot="1" x14ac:dyDescent="0.3">
      <c r="A31" s="154" t="s">
        <v>53</v>
      </c>
      <c r="B31" s="155"/>
      <c r="C31" s="155"/>
      <c r="D31" s="75">
        <f>SUM(D4:D30)</f>
        <v>754.69999999999993</v>
      </c>
      <c r="E31" s="124">
        <f>SUM(E4:E30)</f>
        <v>50309.840000000004</v>
      </c>
      <c r="F31" s="75">
        <f t="shared" ref="F31:G31" si="2">SUM(F4:F30)</f>
        <v>1026.08</v>
      </c>
      <c r="G31" s="80">
        <f t="shared" si="2"/>
        <v>62959.320000000007</v>
      </c>
      <c r="H31" s="75"/>
      <c r="I31" s="76"/>
      <c r="J31" s="76"/>
      <c r="K31" s="76"/>
      <c r="L31" s="99"/>
      <c r="M31" s="99"/>
      <c r="N31" s="99"/>
      <c r="O31" s="99"/>
      <c r="P31" s="90"/>
      <c r="Q31" s="91"/>
      <c r="R31" s="113"/>
      <c r="S31" s="114"/>
      <c r="T31" s="92"/>
      <c r="U31" s="92"/>
      <c r="V31" s="93"/>
      <c r="W31" s="123">
        <f>SUM(W4:W30)</f>
        <v>39596.185087301594</v>
      </c>
    </row>
    <row r="32" spans="1:23" s="84" customFormat="1" ht="45.75" customHeight="1" x14ac:dyDescent="0.25">
      <c r="A32" s="86"/>
      <c r="B32" s="86"/>
      <c r="C32" s="86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26"/>
      <c r="P32" s="26"/>
      <c r="Q32" s="26"/>
      <c r="R32" s="26"/>
      <c r="S32" s="26"/>
      <c r="T32" s="26"/>
      <c r="U32" s="26"/>
      <c r="V32" s="26"/>
      <c r="W32" s="85"/>
    </row>
    <row r="33" spans="1:31" ht="0" hidden="1" customHeight="1" x14ac:dyDescent="0.25">
      <c r="A33" s="26"/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ht="0" hidden="1" customHeight="1" x14ac:dyDescent="0.25">
      <c r="A34" s="26"/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ht="0" hidden="1" customHeight="1" x14ac:dyDescent="0.25">
      <c r="A35" s="26"/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ht="14.25" customHeight="1" x14ac:dyDescent="0.25">
      <c r="A36" s="26"/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7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ht="0" hidden="1" customHeight="1" x14ac:dyDescent="0.25">
      <c r="A37" s="26"/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7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ht="30.75" customHeight="1" x14ac:dyDescent="0.25">
      <c r="A38" s="149"/>
      <c r="B38" s="149"/>
      <c r="C38" s="149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7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ht="37.5" customHeight="1" x14ac:dyDescent="0.25">
      <c r="A39" s="149"/>
      <c r="B39" s="149"/>
      <c r="C39" s="149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7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ht="34.5" customHeight="1" x14ac:dyDescent="0.25">
      <c r="A40" s="26"/>
      <c r="B40" s="43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7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ht="36.75" customHeight="1" x14ac:dyDescent="0.25">
      <c r="A41" s="26"/>
      <c r="B41" s="43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7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ht="36.75" customHeight="1" x14ac:dyDescent="0.25">
      <c r="A42" s="26"/>
      <c r="B42" s="43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7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ht="36.75" customHeight="1" x14ac:dyDescent="0.25">
      <c r="A43" s="26"/>
      <c r="B43" s="43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7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</row>
    <row r="44" spans="1:31" ht="36.75" customHeight="1" x14ac:dyDescent="0.25">
      <c r="A44" s="26"/>
      <c r="B44" s="43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7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</row>
    <row r="45" spans="1:31" ht="36.75" customHeight="1" x14ac:dyDescent="0.25">
      <c r="A45" s="26"/>
      <c r="B45" s="43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7"/>
      <c r="U45" s="27"/>
      <c r="V45" s="26"/>
      <c r="W45" s="26"/>
      <c r="X45" s="26"/>
      <c r="Y45" s="26"/>
      <c r="Z45" s="26"/>
      <c r="AA45" s="26"/>
      <c r="AB45" s="26"/>
      <c r="AC45" s="26"/>
      <c r="AD45" s="26"/>
      <c r="AE45" s="26"/>
    </row>
    <row r="46" spans="1:31" ht="36.75" customHeight="1" x14ac:dyDescent="0.25">
      <c r="A46" s="26"/>
      <c r="B46" s="43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8"/>
      <c r="Q46" s="28"/>
      <c r="R46" s="28"/>
      <c r="S46" s="28"/>
      <c r="T46" s="27"/>
      <c r="U46" s="27"/>
      <c r="V46" s="26"/>
      <c r="W46" s="26"/>
      <c r="X46" s="26"/>
      <c r="Y46" s="26"/>
      <c r="Z46" s="26"/>
      <c r="AA46" s="26"/>
      <c r="AB46" s="26"/>
      <c r="AC46" s="26"/>
      <c r="AD46" s="26"/>
      <c r="AE46" s="26"/>
    </row>
    <row r="47" spans="1:31" ht="15" hidden="1" x14ac:dyDescent="0.25">
      <c r="A47" s="26"/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8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</row>
    <row r="48" spans="1:31" ht="15" hidden="1" x14ac:dyDescent="0.25">
      <c r="A48" s="26"/>
      <c r="B48" s="26"/>
      <c r="C48" s="26"/>
      <c r="D48" s="26"/>
      <c r="E48" s="26"/>
      <c r="F48" s="27"/>
      <c r="G48" s="26"/>
      <c r="H48" s="26"/>
      <c r="I48" s="28"/>
      <c r="J48" s="28"/>
      <c r="K48" s="28"/>
      <c r="L48" s="28"/>
      <c r="M48" s="28"/>
      <c r="N48" s="28"/>
      <c r="O48" s="26"/>
      <c r="P48" s="27"/>
      <c r="Q48" s="27"/>
      <c r="R48" s="27"/>
      <c r="S48" s="27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</row>
    <row r="49" spans="1:31" ht="0" hidden="1" customHeight="1" x14ac:dyDescent="0.25">
      <c r="A49" s="26"/>
      <c r="B49" s="26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7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</row>
    <row r="50" spans="1:31" ht="15" hidden="1" x14ac:dyDescent="0.25">
      <c r="A50" s="26"/>
      <c r="B50" s="26"/>
      <c r="C50" s="26"/>
      <c r="D50" s="26"/>
      <c r="E50" s="26"/>
      <c r="F50" s="26"/>
      <c r="G50" s="26"/>
      <c r="H50" s="26"/>
      <c r="I50" s="27"/>
      <c r="J50" s="27"/>
      <c r="K50" s="27"/>
      <c r="L50" s="27"/>
      <c r="M50" s="27"/>
      <c r="N50" s="27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</row>
    <row r="51" spans="1:31" ht="15" hidden="1" x14ac:dyDescent="0.25">
      <c r="A51" s="26"/>
      <c r="B51" s="26"/>
      <c r="C51" s="26"/>
      <c r="D51" s="26"/>
      <c r="E51" s="26"/>
      <c r="F51" s="27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</row>
    <row r="52" spans="1:31" ht="0" hidden="1" customHeight="1" x14ac:dyDescent="0.25">
      <c r="A52" s="26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</row>
    <row r="53" spans="1:31" ht="0" hidden="1" customHeight="1" x14ac:dyDescent="0.25">
      <c r="A53" s="26"/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</row>
    <row r="54" spans="1:31" ht="0" hidden="1" customHeight="1" x14ac:dyDescent="0.25">
      <c r="A54" s="26"/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</row>
    <row r="55" spans="1:31" ht="15" hidden="1" x14ac:dyDescent="0.25">
      <c r="A55" s="26"/>
      <c r="B55" s="26"/>
      <c r="C55" s="26"/>
      <c r="D55" s="26"/>
      <c r="E55" s="26"/>
      <c r="F55" s="26"/>
      <c r="G55" s="28"/>
      <c r="H55" s="28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</row>
    <row r="56" spans="1:31" ht="0" hidden="1" customHeight="1" x14ac:dyDescent="0.25">
      <c r="A56" s="26"/>
      <c r="B56" s="26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</row>
    <row r="57" spans="1:31" ht="0" hidden="1" customHeight="1" x14ac:dyDescent="0.25">
      <c r="A57" s="26"/>
      <c r="B57" s="26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8"/>
      <c r="Q57" s="28"/>
      <c r="R57" s="28"/>
      <c r="S57" s="28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</row>
    <row r="58" spans="1:31" ht="0" hidden="1" customHeight="1" x14ac:dyDescent="0.25">
      <c r="A58" s="26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8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</row>
    <row r="59" spans="1:31" ht="15" hidden="1" x14ac:dyDescent="0.25">
      <c r="A59" s="26"/>
      <c r="B59" s="26"/>
      <c r="C59" s="26"/>
      <c r="D59" s="26"/>
      <c r="E59" s="26"/>
      <c r="F59" s="26"/>
      <c r="G59" s="26"/>
      <c r="H59" s="26"/>
      <c r="I59" s="28"/>
      <c r="J59" s="28"/>
      <c r="K59" s="28"/>
      <c r="L59" s="28"/>
      <c r="M59" s="28"/>
      <c r="N59" s="28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</row>
  </sheetData>
  <mergeCells count="17">
    <mergeCell ref="T1:W1"/>
    <mergeCell ref="D2:E2"/>
    <mergeCell ref="F2:G2"/>
    <mergeCell ref="T2:T3"/>
    <mergeCell ref="U2:U3"/>
    <mergeCell ref="V2:V3"/>
    <mergeCell ref="W2:W3"/>
    <mergeCell ref="P2:P3"/>
    <mergeCell ref="Q2:Q3"/>
    <mergeCell ref="A31:C31"/>
    <mergeCell ref="A38:C38"/>
    <mergeCell ref="A39:C39"/>
    <mergeCell ref="R2:R3"/>
    <mergeCell ref="S2:S3"/>
    <mergeCell ref="A1:C2"/>
    <mergeCell ref="F1:H1"/>
    <mergeCell ref="I1:S1"/>
  </mergeCells>
  <printOptions horizontalCentered="1" verticalCentered="1"/>
  <pageMargins left="0.31496062992125984" right="0.31496062992125984" top="0.59055118110236227" bottom="0.78740157480314965" header="0.31496062992125984" footer="0.31496062992125984"/>
  <pageSetup paperSize="9" scale="3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18"/>
  <sheetViews>
    <sheetView workbookViewId="0">
      <selection activeCell="A6" sqref="A6"/>
    </sheetView>
  </sheetViews>
  <sheetFormatPr defaultRowHeight="15" x14ac:dyDescent="0.25"/>
  <cols>
    <col min="1" max="1" width="18.42578125" customWidth="1"/>
    <col min="2" max="2" width="49.140625" customWidth="1"/>
    <col min="6" max="6" width="12" customWidth="1"/>
    <col min="7" max="7" width="4.7109375" customWidth="1"/>
    <col min="14" max="14" width="14.42578125" customWidth="1"/>
    <col min="16" max="16" width="9.140625" customWidth="1"/>
  </cols>
  <sheetData>
    <row r="1" spans="1:19" x14ac:dyDescent="0.25">
      <c r="A1" s="188" t="s">
        <v>54</v>
      </c>
      <c r="B1" s="189"/>
    </row>
    <row r="2" spans="1:19" x14ac:dyDescent="0.25">
      <c r="A2" s="2"/>
      <c r="B2" s="2"/>
    </row>
    <row r="3" spans="1:19" ht="45" x14ac:dyDescent="0.25">
      <c r="A3" s="3" t="s">
        <v>55</v>
      </c>
      <c r="B3" s="4" t="s">
        <v>56</v>
      </c>
      <c r="F3" s="191" t="s">
        <v>57</v>
      </c>
      <c r="G3" s="191"/>
      <c r="H3" s="191"/>
      <c r="I3" s="191"/>
      <c r="J3" s="191"/>
      <c r="K3" s="191"/>
      <c r="L3" s="191"/>
      <c r="M3" s="191"/>
      <c r="N3" s="191"/>
      <c r="O3" s="191"/>
      <c r="P3" s="191"/>
      <c r="Q3" s="191"/>
      <c r="R3" s="191"/>
      <c r="S3" s="191"/>
    </row>
    <row r="4" spans="1:19" ht="30" x14ac:dyDescent="0.25">
      <c r="A4" s="3" t="s">
        <v>58</v>
      </c>
      <c r="B4" s="19" t="s">
        <v>59</v>
      </c>
    </row>
    <row r="5" spans="1:19" ht="30" x14ac:dyDescent="0.25">
      <c r="A5" s="3" t="s">
        <v>60</v>
      </c>
      <c r="B5" s="4" t="s">
        <v>61</v>
      </c>
      <c r="F5" s="190" t="s">
        <v>62</v>
      </c>
      <c r="G5" s="190"/>
      <c r="H5" s="190"/>
      <c r="I5" s="190"/>
      <c r="J5" s="190"/>
      <c r="K5" s="190"/>
      <c r="L5" s="190"/>
      <c r="N5" s="190" t="s">
        <v>63</v>
      </c>
      <c r="O5" s="190"/>
      <c r="P5" s="190"/>
      <c r="Q5" s="190"/>
      <c r="R5" s="190"/>
      <c r="S5" s="190"/>
    </row>
    <row r="6" spans="1:19" x14ac:dyDescent="0.25">
      <c r="A6" s="2"/>
      <c r="B6" s="2"/>
    </row>
    <row r="7" spans="1:19" x14ac:dyDescent="0.25">
      <c r="A7" s="2"/>
      <c r="B7" s="2"/>
      <c r="F7" s="192" t="s">
        <v>64</v>
      </c>
      <c r="G7" s="192"/>
      <c r="H7" s="192"/>
      <c r="I7" s="192"/>
      <c r="J7" s="192"/>
      <c r="K7" s="192"/>
      <c r="L7" s="192"/>
      <c r="N7" s="192" t="s">
        <v>65</v>
      </c>
      <c r="O7" s="192"/>
      <c r="P7" s="192"/>
      <c r="Q7" s="192"/>
      <c r="R7" s="192"/>
      <c r="S7" s="192"/>
    </row>
    <row r="8" spans="1:19" x14ac:dyDescent="0.25">
      <c r="A8" s="2"/>
      <c r="B8" s="2"/>
    </row>
    <row r="9" spans="1:19" ht="15" customHeight="1" x14ac:dyDescent="0.25">
      <c r="A9" s="2"/>
      <c r="B9" s="2"/>
      <c r="F9" s="185" t="s">
        <v>66</v>
      </c>
      <c r="G9" s="13" t="s">
        <v>67</v>
      </c>
      <c r="H9" s="6">
        <v>13</v>
      </c>
      <c r="I9" s="5"/>
      <c r="J9" s="5"/>
      <c r="K9" s="5"/>
      <c r="L9" s="7"/>
      <c r="N9" s="185" t="s">
        <v>68</v>
      </c>
      <c r="O9" s="16" t="s">
        <v>67</v>
      </c>
      <c r="P9" s="6">
        <v>15</v>
      </c>
      <c r="Q9" s="5"/>
      <c r="R9" s="5"/>
      <c r="S9" s="7"/>
    </row>
    <row r="10" spans="1:19" x14ac:dyDescent="0.25">
      <c r="A10" s="2"/>
      <c r="B10" s="2"/>
      <c r="F10" s="186"/>
      <c r="G10" s="14" t="s">
        <v>69</v>
      </c>
      <c r="H10" s="9">
        <v>15</v>
      </c>
      <c r="I10" s="8" t="s">
        <v>70</v>
      </c>
      <c r="J10" s="8"/>
      <c r="K10" s="8"/>
      <c r="L10" s="10"/>
      <c r="N10" s="186"/>
      <c r="O10" s="17" t="s">
        <v>69</v>
      </c>
      <c r="P10" s="9">
        <v>18</v>
      </c>
      <c r="Q10" s="8" t="s">
        <v>71</v>
      </c>
      <c r="R10" s="8"/>
      <c r="S10" s="10"/>
    </row>
    <row r="11" spans="1:19" x14ac:dyDescent="0.25">
      <c r="A11" s="2"/>
      <c r="B11" s="2"/>
      <c r="F11" s="186"/>
      <c r="G11" s="14" t="s">
        <v>72</v>
      </c>
      <c r="H11" s="9">
        <v>18</v>
      </c>
      <c r="I11" s="8" t="s">
        <v>73</v>
      </c>
      <c r="J11" s="8"/>
      <c r="K11" s="8"/>
      <c r="L11" s="10"/>
      <c r="N11" s="186"/>
      <c r="O11" s="17" t="s">
        <v>72</v>
      </c>
      <c r="P11" s="9">
        <v>21</v>
      </c>
      <c r="Q11" s="8" t="s">
        <v>74</v>
      </c>
      <c r="R11" s="8"/>
      <c r="S11" s="10"/>
    </row>
    <row r="12" spans="1:19" x14ac:dyDescent="0.25">
      <c r="A12" s="2"/>
      <c r="B12" s="2"/>
      <c r="F12" s="186"/>
      <c r="G12" s="14" t="s">
        <v>75</v>
      </c>
      <c r="H12" s="9">
        <v>21</v>
      </c>
      <c r="I12" s="8" t="s">
        <v>76</v>
      </c>
      <c r="J12" s="8"/>
      <c r="K12" s="8"/>
      <c r="L12" s="10"/>
      <c r="N12" s="186"/>
      <c r="O12" s="17" t="s">
        <v>75</v>
      </c>
      <c r="P12" s="9">
        <v>32</v>
      </c>
      <c r="Q12" s="8" t="s">
        <v>77</v>
      </c>
      <c r="R12" s="8"/>
      <c r="S12" s="10"/>
    </row>
    <row r="13" spans="1:19" x14ac:dyDescent="0.25">
      <c r="A13" s="2"/>
      <c r="B13" s="2"/>
      <c r="F13" s="186"/>
      <c r="G13" s="14" t="s">
        <v>78</v>
      </c>
      <c r="H13" s="9">
        <v>32</v>
      </c>
      <c r="I13" s="8" t="s">
        <v>79</v>
      </c>
      <c r="J13" s="8"/>
      <c r="K13" s="8"/>
      <c r="L13" s="10"/>
      <c r="N13" s="186"/>
      <c r="O13" s="17" t="s">
        <v>78</v>
      </c>
      <c r="P13" s="9">
        <v>38</v>
      </c>
      <c r="Q13" s="8" t="s">
        <v>80</v>
      </c>
      <c r="R13" s="8"/>
      <c r="S13" s="10"/>
    </row>
    <row r="14" spans="1:19" x14ac:dyDescent="0.25">
      <c r="A14" s="2"/>
      <c r="B14" s="2"/>
      <c r="F14" s="186"/>
      <c r="G14" s="14" t="s">
        <v>81</v>
      </c>
      <c r="H14" s="9">
        <v>45</v>
      </c>
      <c r="I14" s="8" t="s">
        <v>82</v>
      </c>
      <c r="J14" s="8"/>
      <c r="K14" s="8"/>
      <c r="L14" s="10"/>
      <c r="N14" s="186"/>
      <c r="O14" s="17" t="s">
        <v>81</v>
      </c>
      <c r="P14" s="9">
        <v>40</v>
      </c>
      <c r="Q14" s="8" t="s">
        <v>83</v>
      </c>
      <c r="R14" s="8"/>
      <c r="S14" s="10"/>
    </row>
    <row r="15" spans="1:19" x14ac:dyDescent="0.25">
      <c r="A15" s="2"/>
      <c r="B15" s="2"/>
      <c r="F15" s="186"/>
      <c r="G15" s="14" t="s">
        <v>84</v>
      </c>
      <c r="H15" s="9">
        <v>46</v>
      </c>
      <c r="K15" s="8"/>
      <c r="L15" s="10"/>
      <c r="N15" s="186"/>
      <c r="O15" s="17"/>
      <c r="P15" s="9"/>
      <c r="Q15" s="8" t="s">
        <v>85</v>
      </c>
      <c r="R15" s="8"/>
      <c r="S15" s="10"/>
    </row>
    <row r="16" spans="1:19" x14ac:dyDescent="0.25">
      <c r="A16" s="2"/>
      <c r="B16" s="2"/>
      <c r="F16" s="187"/>
      <c r="G16" s="15"/>
      <c r="H16" s="11"/>
      <c r="I16" s="11"/>
      <c r="J16" s="11"/>
      <c r="K16" s="11"/>
      <c r="L16" s="12"/>
      <c r="N16" s="187"/>
      <c r="O16" s="18"/>
      <c r="P16" s="11"/>
      <c r="Q16" s="11"/>
      <c r="R16" s="11"/>
      <c r="S16" s="12"/>
    </row>
    <row r="17" spans="1:2" x14ac:dyDescent="0.25">
      <c r="A17" s="2"/>
      <c r="B17" s="2"/>
    </row>
    <row r="18" spans="1:2" x14ac:dyDescent="0.25">
      <c r="A18" s="2"/>
      <c r="B18" s="2"/>
    </row>
  </sheetData>
  <mergeCells count="8">
    <mergeCell ref="N9:N16"/>
    <mergeCell ref="A1:B1"/>
    <mergeCell ref="N5:S5"/>
    <mergeCell ref="F5:L5"/>
    <mergeCell ref="F3:S3"/>
    <mergeCell ref="F7:L7"/>
    <mergeCell ref="N7:S7"/>
    <mergeCell ref="F9:F16"/>
  </mergeCells>
  <hyperlinks>
    <hyperlink ref="B3" r:id="rId1" xr:uid="{00000000-0004-0000-0100-000000000000}"/>
    <hyperlink ref="B4" r:id="rId2" xr:uid="{00000000-0004-0000-0100-000001000000}"/>
    <hyperlink ref="B5" r:id="rId3" xr:uid="{00000000-0004-0000-0100-000002000000}"/>
  </hyperlinks>
  <pageMargins left="0.511811024" right="0.511811024" top="0.78740157499999996" bottom="0.78740157499999996" header="0.31496062000000002" footer="0.31496062000000002"/>
  <pageSetup orientation="portrait"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465D840D5666448AD79DEB2CA5A1281" ma:contentTypeVersion="9" ma:contentTypeDescription="Crie um novo documento." ma:contentTypeScope="" ma:versionID="f52da62000e9251c1e608314bee10e43">
  <xsd:schema xmlns:xsd="http://www.w3.org/2001/XMLSchema" xmlns:xs="http://www.w3.org/2001/XMLSchema" xmlns:p="http://schemas.microsoft.com/office/2006/metadata/properties" xmlns:ns2="2f0814d5-71fd-4ec7-a799-3d5f86258fd5" targetNamespace="http://schemas.microsoft.com/office/2006/metadata/properties" ma:root="true" ma:fieldsID="e12eed25841f87c8258671ce6b12edef" ns2:_="">
    <xsd:import namespace="2f0814d5-71fd-4ec7-a799-3d5f86258fd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0814d5-71fd-4ec7-a799-3d5f86258fd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B2B5ABB-B2F6-4D5B-B205-D36A83EA6C52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C3D900B-788C-4C11-A85A-B8653972962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f0814d5-71fd-4ec7-a799-3d5f86258fd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C184838-8E7B-49A4-B76B-D2D1620E330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Tabela comparativa simplificada</vt:lpstr>
      <vt:lpstr>Tabela comparativa completa</vt:lpstr>
      <vt:lpstr>Matriz</vt:lpstr>
      <vt:lpstr>'Tabela comparativa completa'!Area_de_impressao</vt:lpstr>
      <vt:lpstr>'Tabela comparativa simplificada'!Area_de_impressao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Lohana Argolo Barbosa</dc:creator>
  <cp:keywords/>
  <dc:description/>
  <cp:lastModifiedBy>Pollyane Barbosa Rezende</cp:lastModifiedBy>
  <cp:revision/>
  <dcterms:created xsi:type="dcterms:W3CDTF">2018-02-22T13:24:18Z</dcterms:created>
  <dcterms:modified xsi:type="dcterms:W3CDTF">2025-11-05T17:32:27Z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0x0101001465D840D5666448AD79DEB2CA5A1281</vt:lpwstr>
  </property>
</Properties>
</file>